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esktop\Computer\Excel Dateien neu 05.12.2019\"/>
    </mc:Choice>
  </mc:AlternateContent>
  <xr:revisionPtr revIDLastSave="0" documentId="13_ncr:1_{7248E5BD-5339-4B7D-9E5B-395FC88444DC}" xr6:coauthVersionLast="45" xr6:coauthVersionMax="45" xr10:uidLastSave="{00000000-0000-0000-0000-000000000000}"/>
  <bookViews>
    <workbookView xWindow="-120" yWindow="-120" windowWidth="29040" windowHeight="15840" activeTab="5" xr2:uid="{00000000-000D-0000-FFFF-FFFF00000000}"/>
  </bookViews>
  <sheets>
    <sheet name="Betrieb" sheetId="1" r:id="rId1"/>
    <sheet name="Eingabebereich" sheetId="2" r:id="rId2"/>
    <sheet name="Daten" sheetId="3" r:id="rId3"/>
    <sheet name="jaehrliche_Bilanz_Stickstoff" sheetId="4" r:id="rId4"/>
    <sheet name="jaehrliche_Bilanz_Phosphor" sheetId="5" r:id="rId5"/>
    <sheet name="dreijaehriger_Mittelwert" sheetId="6" r:id="rId6"/>
    <sheet name="Berechnung_GVE" sheetId="7" r:id="rId7"/>
    <sheet name="Info" sheetId="8" r:id="rId8"/>
  </sheets>
  <definedNames>
    <definedName name="A">Betrieb!$D$7:$M$32</definedName>
    <definedName name="A___0">"$#REF!.$B$17:$I$31"</definedName>
    <definedName name="B">"$Betrieb.$#REF!$#REF!:$#REF!$#REF!"</definedName>
    <definedName name="B___0">"$#REF!.$#REF!$#REF!:$#REF!$#REF!"</definedName>
    <definedName name="Betr_Nr_">"$Betrieb.$#REF!$23"</definedName>
    <definedName name="Bodenart">"$Betrieb.$B$#REF!:$Betrieb.$B$#REF!"</definedName>
    <definedName name="Dauerbrache">Eingabebereich!$G$254</definedName>
    <definedName name="_xlnm.Print_Area" localSheetId="6">Berechnung_GVE!$B$2:$G$61</definedName>
    <definedName name="_xlnm.Print_Area" localSheetId="0">Betrieb!$B$2:$H$34</definedName>
    <definedName name="_xlnm.Print_Area" localSheetId="2">Daten!$1:$119</definedName>
    <definedName name="_xlnm.Print_Area" localSheetId="5">dreijaehriger_Mittelwert!$B$2:$R$31</definedName>
    <definedName name="_xlnm.Print_Area" localSheetId="1">Eingabebereich!$B$2:$R$270</definedName>
    <definedName name="_xlnm.Print_Area" localSheetId="7">Info!$B$2:$I$135</definedName>
    <definedName name="_xlnm.Print_Area" localSheetId="4">jaehrliche_Bilanz_Phosphor!$B$2:$K$42</definedName>
    <definedName name="_xlnm.Print_Area" localSheetId="3">jaehrliche_Bilanz_Stickstoff!$B$2:$K$43</definedName>
    <definedName name="_xlnm.Print_Titles" localSheetId="2">Daten!$5:$9</definedName>
    <definedName name="_xlnm.Print_Titles" localSheetId="1">Eingabebereich!$2:$5</definedName>
    <definedName name="Dünger">Daten!$CR$11:$CR$141</definedName>
    <definedName name="Excel_BuiltIn_Print_Titles" localSheetId="2">Daten!$5:$9</definedName>
    <definedName name="Excel_BuiltIn_Print_Titles" localSheetId="1">Eingabebereich!$2:$5</definedName>
    <definedName name="Fett">"$#REF!.$F$2"</definedName>
    <definedName name="FKM3">"$#REF!.$Q$5:$Q$6"</definedName>
    <definedName name="Fläche_incl__Dauerbrache">Eingabebereich!$H$45</definedName>
    <definedName name="Fläche_ohne_Dauerbrache">Eingabebereich!$G$253</definedName>
    <definedName name="FMb___3">#REF!</definedName>
    <definedName name="Grünland">"$Feld.$E$#REF!"</definedName>
    <definedName name="GVE_GEFL">#REF!</definedName>
    <definedName name="GVE_GESAMT">#REF!</definedName>
    <definedName name="GVE_RIND">#REF!</definedName>
    <definedName name="GVE_SCHW">#REF!</definedName>
    <definedName name="GVE_SONST">#REF!</definedName>
    <definedName name="Hauptkultur">Daten!$AX$10:$AX$225</definedName>
    <definedName name="Hausabwässer">"$Betrieb.$C$#REF!:$Betrieb.$C$#REF!"</definedName>
    <definedName name="Kali_ernte">Eingabebereich!$P$31</definedName>
    <definedName name="Kali_im_export">#REF!</definedName>
    <definedName name="Kali_mineral">#REF!</definedName>
    <definedName name="Kali_tiere">#REF!</definedName>
    <definedName name="Kalium">"$Betrieb.$B$#REF!:$Betrieb.$B$#REF!"</definedName>
    <definedName name="Leguminosen">Daten!$CT$11:$CT$34</definedName>
    <definedName name="LG">"$#REF!.$E$2"</definedName>
    <definedName name="Mineraldünger">Daten!$CP$11:$CP$85</definedName>
    <definedName name="N_ernte">Eingabebereich!$M$31</definedName>
    <definedName name="N_gebunden">"$Feld.$#REF!$49"</definedName>
    <definedName name="N_im_export">#REF!</definedName>
    <definedName name="N_mineral">#REF!</definedName>
    <definedName name="N_sonstige">Betrieb!$D$20</definedName>
    <definedName name="N_Tiere">#REF!</definedName>
    <definedName name="Name">Betrieb!$E$18</definedName>
    <definedName name="Nebenerntegut">Daten!$BK$10:$BK$69</definedName>
    <definedName name="Niederschl_Ackerzahl">"$Betrieb.$C$#REF!:$Betrieb.$C$#REF!"</definedName>
    <definedName name="Optimalbereich_Kalium">"$Betrieb.$#REF!$#REF!:$Betrieb.$#REF!$#REF!"</definedName>
    <definedName name="Optimalbereich_Phosphor">"$Betrieb.$#REF!$#REF!:$Betrieb.$#REF!$#REF!"</definedName>
    <definedName name="Ort">Betrieb!$E$26</definedName>
    <definedName name="P_im_export">#REF!</definedName>
    <definedName name="P_mineral">#REF!</definedName>
    <definedName name="P_sonstige">"$Betrieb.$#REF!$14"</definedName>
    <definedName name="Phos_ernte">Eingabebereich!$N$31</definedName>
    <definedName name="Phos_tier">#REF!</definedName>
    <definedName name="Phosphor">"$Betrieb.$B$#REF!:$Betrieb.$B$#REF!"</definedName>
    <definedName name="PLZ">Betrieb!$E$24</definedName>
    <definedName name="Preis_diamon">Betrieb!$E$22</definedName>
    <definedName name="Preis_Harnstoff">Betrieb!$E$18</definedName>
    <definedName name="Preis_kali">Betrieb!$E$25</definedName>
    <definedName name="Preis_NAC">Betrieb!$E$24</definedName>
    <definedName name="Preis_superph">Betrieb!$E$20</definedName>
    <definedName name="Sekundärrohstoffdünger">Daten!$DB$11:$DB$24</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4">NA()</definedName>
    <definedName name="SHARED_FORMULA_5">NA()</definedName>
    <definedName name="SHARED_FORMULA_6">NA()</definedName>
    <definedName name="SHARED_FORMULA_7">NA()</definedName>
    <definedName name="SHARED_FORMULA_8">NA()</definedName>
    <definedName name="SHARED_FORMULA_9">NA()</definedName>
    <definedName name="Straße">Betrieb!$E$22</definedName>
    <definedName name="tab2">"$#REF!.$#REF!$#REF!:$#REF!$#REF!"</definedName>
    <definedName name="tab2___0">"$#REF!.$#REF!$#REF!:$#REF!$#REF!"</definedName>
    <definedName name="tab4">"$#REF!.$B$6:$I$106"</definedName>
    <definedName name="tab4___0">"$#REF!.$B$6:$I$106"</definedName>
    <definedName name="test">"$#REF!.$B$6:$I$106"</definedName>
    <definedName name="Tiere">Daten!$D$11:$D$116</definedName>
    <definedName name="Verlustejeha">jaehrliche_Bilanz_Stickstoff!$H$37</definedName>
    <definedName name="Verlustetotal">Betrieb!$E$24</definedName>
    <definedName name="Vorname">Betrieb!$E$20</definedName>
    <definedName name="Wirtschaftsdünger">Daten!$AE$11:$AE$59</definedName>
    <definedName name="Wirtschaftsjahr">Betrieb!$E$16</definedName>
    <definedName name="Zwischenfrüchte">Daten!$BT$10:$BT$21</definedName>
  </definedName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C61" i="7" l="1"/>
  <c r="E59" i="7"/>
  <c r="F56" i="7"/>
  <c r="F55" i="7"/>
  <c r="F54" i="7"/>
  <c r="F53" i="7"/>
  <c r="E53" i="7"/>
  <c r="F52" i="7"/>
  <c r="F51" i="7"/>
  <c r="F50" i="7"/>
  <c r="F49" i="7" s="1"/>
  <c r="F57" i="7" s="1"/>
  <c r="E49" i="7"/>
  <c r="E57" i="7" s="1"/>
  <c r="F47" i="7"/>
  <c r="F46" i="7"/>
  <c r="F45" i="7"/>
  <c r="F44" i="7"/>
  <c r="F43" i="7"/>
  <c r="F42" i="7" s="1"/>
  <c r="E42" i="7"/>
  <c r="F41" i="7"/>
  <c r="F40" i="7"/>
  <c r="F39" i="7"/>
  <c r="E38" i="7"/>
  <c r="E48" i="7" s="1"/>
  <c r="F37" i="7"/>
  <c r="F36" i="7"/>
  <c r="F34" i="7"/>
  <c r="F33" i="7"/>
  <c r="F32" i="7"/>
  <c r="F31" i="7"/>
  <c r="E30" i="7"/>
  <c r="E35" i="7" s="1"/>
  <c r="F29" i="7"/>
  <c r="F27" i="7"/>
  <c r="F26" i="7"/>
  <c r="F25" i="7"/>
  <c r="F24" i="7" s="1"/>
  <c r="E24" i="7"/>
  <c r="E28" i="7" s="1"/>
  <c r="F23" i="7"/>
  <c r="F28" i="7" s="1"/>
  <c r="F21" i="7"/>
  <c r="F20" i="7"/>
  <c r="F19" i="7"/>
  <c r="F18" i="7"/>
  <c r="F17" i="7"/>
  <c r="F16" i="7"/>
  <c r="F15" i="7" s="1"/>
  <c r="E15" i="7"/>
  <c r="F14" i="7"/>
  <c r="F13" i="7"/>
  <c r="F12" i="7"/>
  <c r="E11" i="7"/>
  <c r="F10" i="7"/>
  <c r="F9" i="7"/>
  <c r="E8" i="7"/>
  <c r="F7" i="7"/>
  <c r="C4" i="7"/>
  <c r="G30" i="6"/>
  <c r="E21" i="6"/>
  <c r="Q20" i="6"/>
  <c r="K20" i="6"/>
  <c r="I20" i="6"/>
  <c r="Q19" i="6"/>
  <c r="K19" i="6"/>
  <c r="I19" i="6"/>
  <c r="H14" i="6"/>
  <c r="AI11" i="6"/>
  <c r="AI13" i="6" s="1"/>
  <c r="AH11" i="6"/>
  <c r="AG11" i="6"/>
  <c r="AG13" i="6" s="1"/>
  <c r="AF11" i="6"/>
  <c r="AE11" i="6"/>
  <c r="AE13" i="6" s="1"/>
  <c r="AD11" i="6"/>
  <c r="AC11" i="6"/>
  <c r="AC13" i="6" s="1"/>
  <c r="AB11" i="6"/>
  <c r="AA11" i="6"/>
  <c r="AA13" i="6" s="1"/>
  <c r="Z11" i="6"/>
  <c r="Y11" i="6"/>
  <c r="Y13" i="6" s="1"/>
  <c r="X11" i="6"/>
  <c r="W11" i="6"/>
  <c r="W13" i="6" s="1"/>
  <c r="V11" i="6"/>
  <c r="U11" i="6"/>
  <c r="U13" i="6" s="1"/>
  <c r="T11" i="6"/>
  <c r="H11" i="6"/>
  <c r="H10" i="6"/>
  <c r="E41" i="5"/>
  <c r="G8" i="5"/>
  <c r="G7" i="5"/>
  <c r="G6" i="5"/>
  <c r="J4" i="5"/>
  <c r="C4" i="5"/>
  <c r="E41" i="4"/>
  <c r="F28" i="4"/>
  <c r="G13" i="4"/>
  <c r="G8" i="4"/>
  <c r="G7" i="4"/>
  <c r="G6" i="4"/>
  <c r="J4" i="4"/>
  <c r="C4" i="4"/>
  <c r="CW226" i="3"/>
  <c r="CV226" i="3"/>
  <c r="CW225" i="3"/>
  <c r="CV225" i="3"/>
  <c r="CW224" i="3"/>
  <c r="CV224" i="3"/>
  <c r="CW223" i="3"/>
  <c r="CV223" i="3"/>
  <c r="CW222" i="3"/>
  <c r="CV222" i="3"/>
  <c r="CW221" i="3"/>
  <c r="CV221" i="3"/>
  <c r="CW220" i="3"/>
  <c r="CV220" i="3"/>
  <c r="CW219" i="3"/>
  <c r="CV219" i="3"/>
  <c r="CW218" i="3"/>
  <c r="CV218" i="3"/>
  <c r="CW217" i="3"/>
  <c r="CV217" i="3"/>
  <c r="CV216" i="3"/>
  <c r="CV215" i="3"/>
  <c r="CV214" i="3"/>
  <c r="CV213" i="3"/>
  <c r="CV212" i="3"/>
  <c r="CV211" i="3"/>
  <c r="CV210" i="3"/>
  <c r="CV209" i="3"/>
  <c r="CV208" i="3"/>
  <c r="CV207" i="3"/>
  <c r="CV206" i="3"/>
  <c r="CV205" i="3"/>
  <c r="CV204" i="3"/>
  <c r="CV203" i="3"/>
  <c r="CV202" i="3"/>
  <c r="CV201" i="3"/>
  <c r="CV200" i="3"/>
  <c r="CV199" i="3"/>
  <c r="CV198" i="3"/>
  <c r="CV197" i="3"/>
  <c r="CV196" i="3"/>
  <c r="CV195" i="3"/>
  <c r="CV194" i="3"/>
  <c r="CV193" i="3"/>
  <c r="CV192" i="3"/>
  <c r="CV191" i="3"/>
  <c r="CV190" i="3"/>
  <c r="CV189" i="3"/>
  <c r="CV188" i="3"/>
  <c r="CV187" i="3"/>
  <c r="CV186" i="3"/>
  <c r="CV185" i="3"/>
  <c r="CV184" i="3"/>
  <c r="CV183" i="3"/>
  <c r="CV182" i="3"/>
  <c r="CV181" i="3"/>
  <c r="CV180" i="3"/>
  <c r="CV179" i="3"/>
  <c r="CV178" i="3"/>
  <c r="CV177" i="3"/>
  <c r="CV176" i="3"/>
  <c r="CV175" i="3"/>
  <c r="CV174" i="3"/>
  <c r="CV173" i="3"/>
  <c r="CV172" i="3"/>
  <c r="CV171" i="3"/>
  <c r="CV170" i="3"/>
  <c r="CV169" i="3"/>
  <c r="CV168" i="3"/>
  <c r="CV167" i="3"/>
  <c r="CV166" i="3"/>
  <c r="CV165" i="3"/>
  <c r="CV164" i="3"/>
  <c r="CV163" i="3"/>
  <c r="CV162" i="3"/>
  <c r="CV161" i="3"/>
  <c r="CV160" i="3"/>
  <c r="CV159" i="3"/>
  <c r="CV158" i="3"/>
  <c r="CV157" i="3"/>
  <c r="CV156" i="3"/>
  <c r="CV155" i="3"/>
  <c r="CV154" i="3"/>
  <c r="CV153" i="3"/>
  <c r="CV152" i="3"/>
  <c r="CV151" i="3"/>
  <c r="CV150" i="3"/>
  <c r="CV149" i="3"/>
  <c r="CV148" i="3"/>
  <c r="CV147" i="3"/>
  <c r="CV146" i="3"/>
  <c r="CV145" i="3"/>
  <c r="CV144" i="3"/>
  <c r="CV143" i="3"/>
  <c r="CV142" i="3"/>
  <c r="CV141" i="3"/>
  <c r="CR141" i="3"/>
  <c r="CV140" i="3"/>
  <c r="CR140" i="3"/>
  <c r="CV139" i="3"/>
  <c r="CR139" i="3"/>
  <c r="CV138" i="3"/>
  <c r="CR138" i="3"/>
  <c r="CV137" i="3"/>
  <c r="CR137" i="3"/>
  <c r="CV136" i="3"/>
  <c r="CR136" i="3"/>
  <c r="CV135" i="3"/>
  <c r="CR135" i="3"/>
  <c r="CV134" i="3"/>
  <c r="CR134" i="3"/>
  <c r="CR133" i="3"/>
  <c r="CR131" i="3"/>
  <c r="CR130" i="3"/>
  <c r="CV129" i="3"/>
  <c r="CR129" i="3"/>
  <c r="CV128" i="3"/>
  <c r="CR128" i="3"/>
  <c r="CV127" i="3"/>
  <c r="CV126" i="3"/>
  <c r="CV125" i="3"/>
  <c r="CV124" i="3"/>
  <c r="AX122" i="3"/>
  <c r="CV123" i="3" s="1"/>
  <c r="AX121" i="3"/>
  <c r="CV122" i="3" s="1"/>
  <c r="AX120" i="3"/>
  <c r="CV121" i="3" s="1"/>
  <c r="AX119" i="3"/>
  <c r="CV120" i="3" s="1"/>
  <c r="AX118" i="3"/>
  <c r="CV119" i="3" s="1"/>
  <c r="CV117" i="3"/>
  <c r="AX117" i="3"/>
  <c r="CV118" i="3" s="1"/>
  <c r="CV116" i="3"/>
  <c r="CN116" i="3"/>
  <c r="CV115" i="3"/>
  <c r="CN115" i="3"/>
  <c r="CV114" i="3"/>
  <c r="CN114" i="3"/>
  <c r="CV113" i="3"/>
  <c r="CN113" i="3"/>
  <c r="CV112" i="3"/>
  <c r="CN112" i="3"/>
  <c r="CV111" i="3"/>
  <c r="CO111" i="3"/>
  <c r="CN111" i="3"/>
  <c r="CN110" i="3"/>
  <c r="CN109" i="3"/>
  <c r="AX109" i="3"/>
  <c r="CV110" i="3" s="1"/>
  <c r="CV108" i="3"/>
  <c r="CN108" i="3"/>
  <c r="AX108" i="3"/>
  <c r="CV109" i="3" s="1"/>
  <c r="CN107" i="3"/>
  <c r="C107" i="3"/>
  <c r="CV106" i="3"/>
  <c r="CO106" i="3"/>
  <c r="CN106" i="3"/>
  <c r="AX106" i="3"/>
  <c r="CV107" i="3" s="1"/>
  <c r="CV105" i="3"/>
  <c r="CO105" i="3"/>
  <c r="CN105" i="3"/>
  <c r="AX105" i="3"/>
  <c r="CN104" i="3"/>
  <c r="AX104" i="3"/>
  <c r="CO103" i="3"/>
  <c r="CN103" i="3"/>
  <c r="AX103" i="3"/>
  <c r="CV104" i="3" s="1"/>
  <c r="C103" i="3"/>
  <c r="C104" i="3" s="1"/>
  <c r="CO104" i="3" s="1"/>
  <c r="CO102" i="3"/>
  <c r="CN102" i="3"/>
  <c r="AX102" i="3"/>
  <c r="CV103" i="3" s="1"/>
  <c r="CO101" i="3"/>
  <c r="CN101" i="3"/>
  <c r="AX101" i="3"/>
  <c r="CV102" i="3" s="1"/>
  <c r="CN100" i="3"/>
  <c r="AX100" i="3"/>
  <c r="CV101" i="3" s="1"/>
  <c r="CN99" i="3"/>
  <c r="AX99" i="3"/>
  <c r="CV100" i="3" s="1"/>
  <c r="CN98" i="3"/>
  <c r="AX98" i="3"/>
  <c r="CV99" i="3" s="1"/>
  <c r="CN97" i="3"/>
  <c r="AX97" i="3"/>
  <c r="CV98" i="3" s="1"/>
  <c r="CN96" i="3"/>
  <c r="AX96" i="3"/>
  <c r="CV97" i="3" s="1"/>
  <c r="CV95" i="3"/>
  <c r="CN95" i="3"/>
  <c r="AX95" i="3"/>
  <c r="CV96" i="3" s="1"/>
  <c r="CV94" i="3"/>
  <c r="CN94" i="3"/>
  <c r="CV93" i="3"/>
  <c r="CN93" i="3"/>
  <c r="CV92" i="3"/>
  <c r="CN92" i="3"/>
  <c r="CV91" i="3"/>
  <c r="CN91" i="3"/>
  <c r="CV90" i="3"/>
  <c r="CO90" i="3"/>
  <c r="CN90" i="3"/>
  <c r="CN89" i="3"/>
  <c r="CN88" i="3"/>
  <c r="AX88" i="3"/>
  <c r="CV89" i="3" s="1"/>
  <c r="CN87" i="3"/>
  <c r="AX87" i="3"/>
  <c r="CV88" i="3" s="1"/>
  <c r="CN86" i="3"/>
  <c r="AX86" i="3"/>
  <c r="CV87" i="3" s="1"/>
  <c r="CP85" i="3"/>
  <c r="CN85" i="3"/>
  <c r="AX85" i="3"/>
  <c r="CV86" i="3" s="1"/>
  <c r="CP84" i="3"/>
  <c r="CN84" i="3"/>
  <c r="AX84" i="3"/>
  <c r="CV85" i="3" s="1"/>
  <c r="CP83" i="3"/>
  <c r="CN83" i="3"/>
  <c r="AX83" i="3"/>
  <c r="CV84" i="3" s="1"/>
  <c r="CP82" i="3"/>
  <c r="CN82" i="3"/>
  <c r="AX82" i="3"/>
  <c r="CV83" i="3" s="1"/>
  <c r="CP81" i="3"/>
  <c r="CN81" i="3"/>
  <c r="AX81" i="3"/>
  <c r="CV82" i="3" s="1"/>
  <c r="CP80" i="3"/>
  <c r="CN80" i="3"/>
  <c r="AX80" i="3"/>
  <c r="CV81" i="3" s="1"/>
  <c r="CP79" i="3"/>
  <c r="CN79" i="3"/>
  <c r="AX79" i="3"/>
  <c r="CV80" i="3" s="1"/>
  <c r="CP78" i="3"/>
  <c r="CN78" i="3"/>
  <c r="AX78" i="3"/>
  <c r="CV79" i="3" s="1"/>
  <c r="CV77" i="3"/>
  <c r="CP77" i="3"/>
  <c r="CN77" i="3"/>
  <c r="AX77" i="3"/>
  <c r="CV78" i="3" s="1"/>
  <c r="J77" i="3"/>
  <c r="CP76" i="3"/>
  <c r="CN76" i="3"/>
  <c r="CP75" i="3"/>
  <c r="CN75" i="3"/>
  <c r="AX75" i="3"/>
  <c r="CV76" i="3" s="1"/>
  <c r="CP74" i="3"/>
  <c r="CN74" i="3"/>
  <c r="AX74" i="3"/>
  <c r="CV75" i="3" s="1"/>
  <c r="CP73" i="3"/>
  <c r="CN73" i="3"/>
  <c r="AX73" i="3"/>
  <c r="CV74" i="3" s="1"/>
  <c r="CP72" i="3"/>
  <c r="CN72" i="3"/>
  <c r="AX72" i="3"/>
  <c r="CV73" i="3" s="1"/>
  <c r="CP71" i="3"/>
  <c r="CN71" i="3"/>
  <c r="AX71" i="3"/>
  <c r="CV72" i="3" s="1"/>
  <c r="CX70" i="3"/>
  <c r="CP70" i="3"/>
  <c r="CN70" i="3"/>
  <c r="AX70" i="3"/>
  <c r="CV71" i="3" s="1"/>
  <c r="CX69" i="3"/>
  <c r="CP69" i="3"/>
  <c r="CN69" i="3"/>
  <c r="AX69" i="3"/>
  <c r="CV70" i="3" s="1"/>
  <c r="CX68" i="3"/>
  <c r="CP68" i="3"/>
  <c r="CN68" i="3"/>
  <c r="AX68" i="3"/>
  <c r="CV69" i="3" s="1"/>
  <c r="CX67" i="3"/>
  <c r="CV67" i="3"/>
  <c r="CP67" i="3"/>
  <c r="CN67" i="3"/>
  <c r="AX67" i="3"/>
  <c r="CV68" i="3" s="1"/>
  <c r="CX66" i="3"/>
  <c r="CP66" i="3"/>
  <c r="CN66" i="3"/>
  <c r="AX66" i="3"/>
  <c r="CX65" i="3"/>
  <c r="CP65" i="3"/>
  <c r="CN65" i="3"/>
  <c r="AX65" i="3"/>
  <c r="CV66" i="3" s="1"/>
  <c r="CX64" i="3"/>
  <c r="CV64" i="3"/>
  <c r="CP64" i="3"/>
  <c r="CN64" i="3"/>
  <c r="AX64" i="3"/>
  <c r="CV65" i="3" s="1"/>
  <c r="CX63" i="3"/>
  <c r="CP63" i="3"/>
  <c r="CN63" i="3"/>
  <c r="CX62" i="3"/>
  <c r="CP62" i="3"/>
  <c r="CN62" i="3"/>
  <c r="AX62" i="3"/>
  <c r="CV63" i="3" s="1"/>
  <c r="CX61" i="3"/>
  <c r="CW61" i="3"/>
  <c r="CP61" i="3"/>
  <c r="CN61" i="3"/>
  <c r="AX61" i="3"/>
  <c r="CV62" i="3" s="1"/>
  <c r="CX60" i="3"/>
  <c r="CP60" i="3"/>
  <c r="CN60" i="3"/>
  <c r="AX60" i="3"/>
  <c r="CV61" i="3" s="1"/>
  <c r="CX59" i="3"/>
  <c r="CR59" i="3"/>
  <c r="CP59" i="3"/>
  <c r="CN59" i="3"/>
  <c r="AX59" i="3"/>
  <c r="CV60" i="3" s="1"/>
  <c r="AI59" i="3"/>
  <c r="CX58" i="3"/>
  <c r="CR58" i="3"/>
  <c r="CP58" i="3"/>
  <c r="CN58" i="3"/>
  <c r="AX58" i="3"/>
  <c r="CV59" i="3" s="1"/>
  <c r="AI58" i="3"/>
  <c r="CX57" i="3"/>
  <c r="CV57" i="3"/>
  <c r="CR57" i="3"/>
  <c r="CP57" i="3"/>
  <c r="CO57" i="3"/>
  <c r="CN57" i="3"/>
  <c r="AX57" i="3"/>
  <c r="CV58" i="3" s="1"/>
  <c r="AI57" i="3"/>
  <c r="CX56" i="3"/>
  <c r="CR56" i="3"/>
  <c r="CP56" i="3"/>
  <c r="CN56" i="3"/>
  <c r="AI56" i="3"/>
  <c r="J56" i="3"/>
  <c r="H56" i="3"/>
  <c r="CX55" i="3"/>
  <c r="CR55" i="3"/>
  <c r="CP55" i="3"/>
  <c r="CN55" i="3"/>
  <c r="AX55" i="3"/>
  <c r="CV56" i="3" s="1"/>
  <c r="AI55" i="3"/>
  <c r="J55" i="3"/>
  <c r="H55" i="3"/>
  <c r="CX54" i="3"/>
  <c r="CR54" i="3"/>
  <c r="CP54" i="3"/>
  <c r="CN54" i="3"/>
  <c r="AX54" i="3"/>
  <c r="CV55" i="3" s="1"/>
  <c r="AI54" i="3"/>
  <c r="J54" i="3"/>
  <c r="H54" i="3"/>
  <c r="CX53" i="3"/>
  <c r="CW53" i="3"/>
  <c r="CR53" i="3"/>
  <c r="CP53" i="3"/>
  <c r="CN53" i="3"/>
  <c r="AX53" i="3"/>
  <c r="CV54" i="3" s="1"/>
  <c r="AI53" i="3"/>
  <c r="CX52" i="3"/>
  <c r="CR52" i="3"/>
  <c r="CP52" i="3"/>
  <c r="CN52" i="3"/>
  <c r="AX52" i="3"/>
  <c r="CV53" i="3" s="1"/>
  <c r="AI52" i="3"/>
  <c r="CX51" i="3"/>
  <c r="CR51" i="3"/>
  <c r="CP51" i="3"/>
  <c r="CN51" i="3"/>
  <c r="AX51" i="3"/>
  <c r="CV52" i="3" s="1"/>
  <c r="AI51" i="3"/>
  <c r="CX50" i="3"/>
  <c r="CR50" i="3"/>
  <c r="CP50" i="3"/>
  <c r="CN50" i="3"/>
  <c r="AX50" i="3"/>
  <c r="CV51" i="3" s="1"/>
  <c r="AI50" i="3"/>
  <c r="CX49" i="3"/>
  <c r="CR49" i="3"/>
  <c r="CP49" i="3"/>
  <c r="CN49" i="3"/>
  <c r="AX49" i="3"/>
  <c r="CV50" i="3" s="1"/>
  <c r="AK49" i="3"/>
  <c r="AI49" i="3"/>
  <c r="CX48" i="3"/>
  <c r="CR48" i="3"/>
  <c r="CP48" i="3"/>
  <c r="CN48" i="3"/>
  <c r="AX48" i="3"/>
  <c r="CV49" i="3" s="1"/>
  <c r="AK48" i="3"/>
  <c r="AI48" i="3"/>
  <c r="CX47" i="3"/>
  <c r="CR47" i="3"/>
  <c r="CP47" i="3"/>
  <c r="CN47" i="3"/>
  <c r="AX47" i="3"/>
  <c r="CV48" i="3" s="1"/>
  <c r="AK47" i="3"/>
  <c r="AI47" i="3"/>
  <c r="CX46" i="3"/>
  <c r="CR46" i="3"/>
  <c r="CP46" i="3"/>
  <c r="CN46" i="3"/>
  <c r="AX46" i="3"/>
  <c r="CV47" i="3" s="1"/>
  <c r="AL46" i="3"/>
  <c r="AJ46" i="3"/>
  <c r="CX45" i="3"/>
  <c r="CR45" i="3"/>
  <c r="CP45" i="3"/>
  <c r="CN45" i="3"/>
  <c r="AX45" i="3"/>
  <c r="CV46" i="3" s="1"/>
  <c r="AM45" i="3"/>
  <c r="AL45" i="3"/>
  <c r="AK45" i="3"/>
  <c r="AI45" i="3"/>
  <c r="CX44" i="3"/>
  <c r="CR44" i="3"/>
  <c r="CP44" i="3"/>
  <c r="CN44" i="3"/>
  <c r="AX44" i="3"/>
  <c r="CV45" i="3" s="1"/>
  <c r="AK44" i="3"/>
  <c r="AI44" i="3"/>
  <c r="CX43" i="3"/>
  <c r="CR43" i="3"/>
  <c r="CP43" i="3"/>
  <c r="CN43" i="3"/>
  <c r="AX43" i="3"/>
  <c r="CV44" i="3" s="1"/>
  <c r="AK43" i="3"/>
  <c r="AI43" i="3"/>
  <c r="CX42" i="3"/>
  <c r="CR42" i="3"/>
  <c r="CP42" i="3"/>
  <c r="CN42" i="3"/>
  <c r="AX42" i="3"/>
  <c r="CV43" i="3" s="1"/>
  <c r="AI42" i="3"/>
  <c r="CX41" i="3"/>
  <c r="CR41" i="3"/>
  <c r="CP41" i="3"/>
  <c r="CN41" i="3"/>
  <c r="AX41" i="3"/>
  <c r="CV42" i="3" s="1"/>
  <c r="AI41" i="3"/>
  <c r="CX40" i="3"/>
  <c r="CR40" i="3"/>
  <c r="CP40" i="3"/>
  <c r="CN40" i="3"/>
  <c r="AX40" i="3"/>
  <c r="CV41" i="3" s="1"/>
  <c r="AK40" i="3"/>
  <c r="AI40" i="3"/>
  <c r="CX39" i="3"/>
  <c r="CR39" i="3"/>
  <c r="CP39" i="3"/>
  <c r="CN39" i="3"/>
  <c r="AX39" i="3"/>
  <c r="CV40" i="3" s="1"/>
  <c r="AK39" i="3"/>
  <c r="AI39" i="3"/>
  <c r="CX38" i="3"/>
  <c r="CR38" i="3"/>
  <c r="CP38" i="3"/>
  <c r="CN38" i="3"/>
  <c r="AX38" i="3"/>
  <c r="CV39" i="3" s="1"/>
  <c r="AK38" i="3"/>
  <c r="AI38" i="3"/>
  <c r="AD38" i="3"/>
  <c r="CS38" i="3" s="1"/>
  <c r="CX37" i="3"/>
  <c r="CS37" i="3"/>
  <c r="CR37" i="3"/>
  <c r="CP37" i="3"/>
  <c r="CN37" i="3"/>
  <c r="AX37" i="3"/>
  <c r="CV38" i="3" s="1"/>
  <c r="AK37" i="3"/>
  <c r="AI37" i="3"/>
  <c r="CX36" i="3"/>
  <c r="CS36" i="3"/>
  <c r="CR36" i="3"/>
  <c r="CP36" i="3"/>
  <c r="CN36" i="3"/>
  <c r="AX36" i="3"/>
  <c r="CV37" i="3" s="1"/>
  <c r="CX35" i="3"/>
  <c r="CR35" i="3"/>
  <c r="CP35" i="3"/>
  <c r="CO35" i="3"/>
  <c r="CN35" i="3"/>
  <c r="AX35" i="3"/>
  <c r="CV36" i="3" s="1"/>
  <c r="AI35" i="3"/>
  <c r="J35" i="3"/>
  <c r="H35" i="3"/>
  <c r="CX34" i="3"/>
  <c r="CU34" i="3"/>
  <c r="CT34" i="3"/>
  <c r="CR34" i="3"/>
  <c r="CP34" i="3"/>
  <c r="CN34" i="3"/>
  <c r="AX34" i="3"/>
  <c r="CV35" i="3" s="1"/>
  <c r="AU34" i="3"/>
  <c r="AI34" i="3"/>
  <c r="J34" i="3"/>
  <c r="H34" i="3"/>
  <c r="CX33" i="3"/>
  <c r="CU33" i="3"/>
  <c r="CT33" i="3"/>
  <c r="CR33" i="3"/>
  <c r="CP33" i="3"/>
  <c r="CN33" i="3"/>
  <c r="AX33" i="3"/>
  <c r="CV34" i="3" s="1"/>
  <c r="AU33" i="3"/>
  <c r="AI33" i="3"/>
  <c r="J33" i="3"/>
  <c r="H33" i="3"/>
  <c r="CX32" i="3"/>
  <c r="CU32" i="3"/>
  <c r="CT32" i="3"/>
  <c r="CR32" i="3"/>
  <c r="CP32" i="3"/>
  <c r="CN32" i="3"/>
  <c r="AX32" i="3"/>
  <c r="CV33" i="3" s="1"/>
  <c r="AU32" i="3"/>
  <c r="AI32" i="3"/>
  <c r="J32" i="3"/>
  <c r="H32" i="3"/>
  <c r="CX31" i="3"/>
  <c r="CV31" i="3"/>
  <c r="CU31" i="3"/>
  <c r="CT31" i="3"/>
  <c r="CR31" i="3"/>
  <c r="CP31" i="3"/>
  <c r="CN31" i="3"/>
  <c r="AX31" i="3"/>
  <c r="CV32" i="3" s="1"/>
  <c r="AU31" i="3"/>
  <c r="AJ31" i="3"/>
  <c r="AI31" i="3" s="1"/>
  <c r="J31" i="3"/>
  <c r="H31" i="3"/>
  <c r="CX30" i="3"/>
  <c r="CU30" i="3"/>
  <c r="CT30" i="3"/>
  <c r="CR30" i="3"/>
  <c r="CP30" i="3"/>
  <c r="CN30" i="3"/>
  <c r="AX30" i="3"/>
  <c r="AU30" i="3"/>
  <c r="AJ30" i="3"/>
  <c r="AI30" i="3" s="1"/>
  <c r="J30" i="3"/>
  <c r="H30" i="3"/>
  <c r="CX29" i="3"/>
  <c r="CU29" i="3"/>
  <c r="CT29" i="3"/>
  <c r="CR29" i="3"/>
  <c r="CP29" i="3"/>
  <c r="CN29" i="3"/>
  <c r="AX29" i="3"/>
  <c r="CV30" i="3" s="1"/>
  <c r="AU29" i="3"/>
  <c r="AJ29" i="3"/>
  <c r="AI29" i="3" s="1"/>
  <c r="J29" i="3"/>
  <c r="H29" i="3"/>
  <c r="CX28" i="3"/>
  <c r="CU28" i="3"/>
  <c r="CT28" i="3"/>
  <c r="CR28" i="3"/>
  <c r="CP28" i="3"/>
  <c r="CN28" i="3"/>
  <c r="AX28" i="3"/>
  <c r="CV29" i="3" s="1"/>
  <c r="AU28" i="3"/>
  <c r="AJ28" i="3"/>
  <c r="AI28" i="3" s="1"/>
  <c r="J28" i="3"/>
  <c r="H28" i="3"/>
  <c r="CX27" i="3"/>
  <c r="CU27" i="3"/>
  <c r="CT27" i="3"/>
  <c r="CR27" i="3"/>
  <c r="CP27" i="3"/>
  <c r="CN27" i="3"/>
  <c r="AX27" i="3"/>
  <c r="CV28" i="3" s="1"/>
  <c r="AU27" i="3"/>
  <c r="AI27" i="3"/>
  <c r="J27" i="3"/>
  <c r="H27" i="3"/>
  <c r="CX26" i="3"/>
  <c r="CU26" i="3"/>
  <c r="CT26" i="3"/>
  <c r="CR26" i="3"/>
  <c r="CP26" i="3"/>
  <c r="CN26" i="3"/>
  <c r="AX26" i="3"/>
  <c r="CV27" i="3" s="1"/>
  <c r="AI26" i="3"/>
  <c r="J26" i="3"/>
  <c r="H26" i="3"/>
  <c r="CY25" i="3"/>
  <c r="CX25" i="3"/>
  <c r="CU25" i="3"/>
  <c r="CT25" i="3"/>
  <c r="CR25" i="3"/>
  <c r="CP25" i="3"/>
  <c r="CN25" i="3"/>
  <c r="BJ25" i="3"/>
  <c r="AX25" i="3"/>
  <c r="CV26" i="3" s="1"/>
  <c r="AU25" i="3"/>
  <c r="AI25" i="3"/>
  <c r="J25" i="3"/>
  <c r="H25" i="3"/>
  <c r="DB24" i="3"/>
  <c r="CY24" i="3"/>
  <c r="CX24" i="3"/>
  <c r="CU24" i="3"/>
  <c r="CT24" i="3"/>
  <c r="CR24" i="3"/>
  <c r="CP24" i="3"/>
  <c r="CN24" i="3"/>
  <c r="AX24" i="3"/>
  <c r="CV25" i="3" s="1"/>
  <c r="AU24" i="3"/>
  <c r="AI24" i="3"/>
  <c r="J24" i="3"/>
  <c r="H24" i="3"/>
  <c r="DB23" i="3"/>
  <c r="CY23" i="3"/>
  <c r="CX23" i="3"/>
  <c r="CU23" i="3"/>
  <c r="CT23" i="3"/>
  <c r="CR23" i="3"/>
  <c r="CP23" i="3"/>
  <c r="CN23" i="3"/>
  <c r="AX23" i="3"/>
  <c r="CV24" i="3" s="1"/>
  <c r="AU23" i="3"/>
  <c r="AI23" i="3"/>
  <c r="J23" i="3"/>
  <c r="H23" i="3"/>
  <c r="DB22" i="3"/>
  <c r="DA22" i="3"/>
  <c r="CZ22" i="3"/>
  <c r="CY22" i="3"/>
  <c r="CX22" i="3"/>
  <c r="CU22" i="3"/>
  <c r="CT22" i="3"/>
  <c r="CR22" i="3"/>
  <c r="CP22" i="3"/>
  <c r="CN22" i="3"/>
  <c r="AX22" i="3"/>
  <c r="CV23" i="3" s="1"/>
  <c r="AU22" i="3"/>
  <c r="AI22" i="3"/>
  <c r="J22" i="3"/>
  <c r="H22" i="3"/>
  <c r="DB21" i="3"/>
  <c r="DA21" i="3"/>
  <c r="CZ21" i="3"/>
  <c r="CY21" i="3"/>
  <c r="CX21" i="3"/>
  <c r="CU21" i="3"/>
  <c r="CT21" i="3"/>
  <c r="CR21" i="3"/>
  <c r="CP21" i="3"/>
  <c r="CN21" i="3"/>
  <c r="AX21" i="3"/>
  <c r="CV22" i="3" s="1"/>
  <c r="AM21" i="3"/>
  <c r="AL21" i="3"/>
  <c r="AJ21" i="3"/>
  <c r="AI21" i="3" s="1"/>
  <c r="J21" i="3"/>
  <c r="H21" i="3"/>
  <c r="DC20" i="3"/>
  <c r="DB20" i="3"/>
  <c r="DA20" i="3"/>
  <c r="CZ20" i="3"/>
  <c r="CX20" i="3"/>
  <c r="CT20" i="3"/>
  <c r="CR20" i="3"/>
  <c r="CP20" i="3"/>
  <c r="CN20" i="3"/>
  <c r="CA20" i="3"/>
  <c r="DC21" i="3" s="1"/>
  <c r="AX20" i="3"/>
  <c r="CV21" i="3" s="1"/>
  <c r="AU20" i="3"/>
  <c r="AJ20" i="3"/>
  <c r="AI20" i="3" s="1"/>
  <c r="J20" i="3"/>
  <c r="H20" i="3"/>
  <c r="DC19" i="3"/>
  <c r="DB19" i="3"/>
  <c r="DA19" i="3"/>
  <c r="CZ19" i="3"/>
  <c r="CY19" i="3"/>
  <c r="CX19" i="3"/>
  <c r="CT19" i="3"/>
  <c r="CR19" i="3"/>
  <c r="CP19" i="3"/>
  <c r="CN19" i="3"/>
  <c r="BJ19" i="3"/>
  <c r="CY20" i="3" s="1"/>
  <c r="AX19" i="3"/>
  <c r="CV20" i="3" s="1"/>
  <c r="AU19" i="3"/>
  <c r="AP19" i="3"/>
  <c r="AP20" i="3" s="1"/>
  <c r="CU20" i="3" s="1"/>
  <c r="AM19" i="3"/>
  <c r="AL19" i="3"/>
  <c r="AJ19" i="3"/>
  <c r="AI19" i="3" s="1"/>
  <c r="J19" i="3"/>
  <c r="H19" i="3"/>
  <c r="DC18" i="3"/>
  <c r="DB18" i="3"/>
  <c r="DA18" i="3"/>
  <c r="CZ18" i="3"/>
  <c r="CY18" i="3"/>
  <c r="CX18" i="3"/>
  <c r="CU18" i="3"/>
  <c r="CT18" i="3"/>
  <c r="CR18" i="3"/>
  <c r="CP18" i="3"/>
  <c r="CN18" i="3"/>
  <c r="AX18" i="3"/>
  <c r="CV19" i="3" s="1"/>
  <c r="AU18" i="3"/>
  <c r="AM18" i="3"/>
  <c r="AL18" i="3"/>
  <c r="AJ18" i="3"/>
  <c r="AI18" i="3" s="1"/>
  <c r="J18" i="3"/>
  <c r="H18" i="3"/>
  <c r="DC17" i="3"/>
  <c r="DB17" i="3"/>
  <c r="CZ17" i="3"/>
  <c r="CY17" i="3"/>
  <c r="CX17" i="3"/>
  <c r="CU17" i="3"/>
  <c r="CT17" i="3"/>
  <c r="CR17" i="3"/>
  <c r="CP17" i="3"/>
  <c r="CN17" i="3"/>
  <c r="AX17" i="3"/>
  <c r="CV18" i="3" s="1"/>
  <c r="AU17" i="3"/>
  <c r="AM17" i="3"/>
  <c r="AL17" i="3"/>
  <c r="AJ17" i="3"/>
  <c r="AI17" i="3" s="1"/>
  <c r="J17" i="3"/>
  <c r="H17" i="3"/>
  <c r="DC16" i="3"/>
  <c r="DB16" i="3"/>
  <c r="CZ16" i="3"/>
  <c r="CY16" i="3"/>
  <c r="CX16" i="3"/>
  <c r="CU16" i="3"/>
  <c r="CT16" i="3"/>
  <c r="CR16" i="3"/>
  <c r="CP16" i="3"/>
  <c r="CN16" i="3"/>
  <c r="AX16" i="3"/>
  <c r="CV17" i="3" s="1"/>
  <c r="AU16" i="3"/>
  <c r="AM16" i="3"/>
  <c r="AL16" i="3"/>
  <c r="AJ16" i="3"/>
  <c r="AI16" i="3" s="1"/>
  <c r="J16" i="3"/>
  <c r="H16" i="3"/>
  <c r="DC15" i="3"/>
  <c r="DB15" i="3"/>
  <c r="CZ15" i="3"/>
  <c r="CY15" i="3"/>
  <c r="CX15" i="3"/>
  <c r="CU15" i="3"/>
  <c r="CT15" i="3"/>
  <c r="CR15" i="3"/>
  <c r="CP15" i="3"/>
  <c r="CN15" i="3"/>
  <c r="AX15" i="3"/>
  <c r="CV16" i="3" s="1"/>
  <c r="AU15" i="3"/>
  <c r="AI15" i="3"/>
  <c r="J15" i="3"/>
  <c r="H15" i="3"/>
  <c r="DC14" i="3"/>
  <c r="DB14" i="3"/>
  <c r="CZ14" i="3"/>
  <c r="CY14" i="3"/>
  <c r="CX14" i="3"/>
  <c r="CU14" i="3"/>
  <c r="CT14" i="3"/>
  <c r="CR14" i="3"/>
  <c r="CP14" i="3"/>
  <c r="CN14" i="3"/>
  <c r="AX14" i="3"/>
  <c r="CV15" i="3" s="1"/>
  <c r="AU14" i="3"/>
  <c r="AI14" i="3"/>
  <c r="J14" i="3"/>
  <c r="H14" i="3"/>
  <c r="DC13" i="3"/>
  <c r="DB13" i="3"/>
  <c r="CZ13" i="3"/>
  <c r="CY13" i="3"/>
  <c r="CX13" i="3"/>
  <c r="CU13" i="3"/>
  <c r="CT13" i="3"/>
  <c r="CR13" i="3"/>
  <c r="CP13" i="3"/>
  <c r="CN13" i="3"/>
  <c r="AX13" i="3"/>
  <c r="CV14" i="3" s="1"/>
  <c r="AU13" i="3"/>
  <c r="AI13" i="3"/>
  <c r="J13" i="3"/>
  <c r="H13" i="3"/>
  <c r="DC12" i="3"/>
  <c r="DB12" i="3"/>
  <c r="CZ12" i="3"/>
  <c r="CY12" i="3"/>
  <c r="CX12" i="3"/>
  <c r="CV12" i="3"/>
  <c r="CU12" i="3"/>
  <c r="CT12" i="3"/>
  <c r="C228" i="2" s="1"/>
  <c r="CR12" i="3"/>
  <c r="CP12" i="3"/>
  <c r="CN12" i="3"/>
  <c r="AX12" i="3"/>
  <c r="CV13" i="3" s="1"/>
  <c r="AU12" i="3"/>
  <c r="AI12" i="3"/>
  <c r="AD12" i="3"/>
  <c r="J12" i="3"/>
  <c r="H12" i="3"/>
  <c r="C12" i="3"/>
  <c r="C13" i="3" s="1"/>
  <c r="C14" i="3" s="1"/>
  <c r="C15" i="3" s="1"/>
  <c r="C16" i="3" s="1"/>
  <c r="CO16" i="3" s="1"/>
  <c r="DC11" i="3"/>
  <c r="DB11" i="3"/>
  <c r="DA11" i="3"/>
  <c r="CZ11" i="3"/>
  <c r="CY11" i="3"/>
  <c r="CX11" i="3"/>
  <c r="CW11" i="3"/>
  <c r="CV11" i="3"/>
  <c r="CU11" i="3"/>
  <c r="CT11" i="3"/>
  <c r="CS11" i="3"/>
  <c r="CR11" i="3"/>
  <c r="CQ11" i="3"/>
  <c r="C191" i="2" s="1"/>
  <c r="CP11" i="3"/>
  <c r="CO11" i="3"/>
  <c r="CN11" i="3"/>
  <c r="BS11" i="3"/>
  <c r="DA12" i="3" s="1"/>
  <c r="AW11" i="3"/>
  <c r="CW12" i="3" s="1"/>
  <c r="AU11" i="3"/>
  <c r="AI11" i="3"/>
  <c r="T11" i="3"/>
  <c r="CQ12" i="3" s="1"/>
  <c r="J11" i="3"/>
  <c r="H11" i="3"/>
  <c r="CO10" i="3"/>
  <c r="CN10" i="3"/>
  <c r="BS10" i="3"/>
  <c r="G269" i="2"/>
  <c r="L230" i="2"/>
  <c r="K230" i="2"/>
  <c r="C230" i="2"/>
  <c r="L229" i="2"/>
  <c r="K229" i="2"/>
  <c r="C229" i="2"/>
  <c r="L226" i="2"/>
  <c r="H221" i="2"/>
  <c r="G221" i="2"/>
  <c r="J220" i="2"/>
  <c r="C220" i="2"/>
  <c r="O220" i="2" s="1"/>
  <c r="L219" i="2"/>
  <c r="C219" i="2"/>
  <c r="N218" i="2"/>
  <c r="L218" i="2"/>
  <c r="J218" i="2"/>
  <c r="C218" i="2"/>
  <c r="O218" i="2" s="1"/>
  <c r="L217" i="2"/>
  <c r="C217" i="2"/>
  <c r="L216" i="2"/>
  <c r="H211" i="2"/>
  <c r="G211" i="2"/>
  <c r="L205" i="2"/>
  <c r="C205" i="2"/>
  <c r="L204" i="2"/>
  <c r="C204" i="2"/>
  <c r="O204" i="2" s="1"/>
  <c r="L203" i="2"/>
  <c r="C203" i="2"/>
  <c r="L202" i="2"/>
  <c r="C202" i="2"/>
  <c r="O202" i="2" s="1"/>
  <c r="L201" i="2"/>
  <c r="C201" i="2"/>
  <c r="J200" i="2"/>
  <c r="C200" i="2"/>
  <c r="O200" i="2" s="1"/>
  <c r="C199" i="2"/>
  <c r="C198" i="2"/>
  <c r="C197" i="2"/>
  <c r="O197" i="2" s="1"/>
  <c r="C196" i="2"/>
  <c r="N195" i="2"/>
  <c r="L195" i="2"/>
  <c r="J195" i="2"/>
  <c r="C195" i="2"/>
  <c r="O195" i="2" s="1"/>
  <c r="L194" i="2"/>
  <c r="C194" i="2"/>
  <c r="N193" i="2"/>
  <c r="L193" i="2"/>
  <c r="J193" i="2"/>
  <c r="C193" i="2"/>
  <c r="O193" i="2" s="1"/>
  <c r="L192" i="2"/>
  <c r="L191" i="2"/>
  <c r="C190" i="2"/>
  <c r="C189" i="2"/>
  <c r="C188" i="2"/>
  <c r="H186" i="2"/>
  <c r="G186" i="2"/>
  <c r="L185" i="2"/>
  <c r="C185" i="2"/>
  <c r="L184" i="2"/>
  <c r="C184" i="2"/>
  <c r="C183" i="2"/>
  <c r="C182" i="2"/>
  <c r="C181" i="2"/>
  <c r="C180" i="2"/>
  <c r="C179" i="2"/>
  <c r="C178" i="2"/>
  <c r="C177" i="2"/>
  <c r="C176" i="2"/>
  <c r="C175" i="2"/>
  <c r="C174" i="2"/>
  <c r="C173" i="2"/>
  <c r="C172" i="2"/>
  <c r="C169" i="2"/>
  <c r="C168" i="2"/>
  <c r="C167" i="2"/>
  <c r="H166" i="2"/>
  <c r="G166" i="2"/>
  <c r="C166" i="2"/>
  <c r="L165" i="2"/>
  <c r="C165" i="2"/>
  <c r="L164" i="2"/>
  <c r="C164" i="2"/>
  <c r="C163" i="2"/>
  <c r="C162" i="2"/>
  <c r="J161" i="2"/>
  <c r="C161" i="2"/>
  <c r="P161" i="2" s="1"/>
  <c r="C160" i="2"/>
  <c r="C159" i="2"/>
  <c r="C158" i="2"/>
  <c r="J157" i="2"/>
  <c r="C157" i="2"/>
  <c r="P157" i="2" s="1"/>
  <c r="L156" i="2"/>
  <c r="C155" i="2"/>
  <c r="C154" i="2"/>
  <c r="C153" i="2"/>
  <c r="H151" i="2"/>
  <c r="G151" i="2"/>
  <c r="C151" i="2"/>
  <c r="J150" i="2"/>
  <c r="C150" i="2"/>
  <c r="O150" i="2" s="1"/>
  <c r="L149" i="2"/>
  <c r="C149" i="2"/>
  <c r="O149" i="2" s="1"/>
  <c r="C148" i="2"/>
  <c r="J147" i="2"/>
  <c r="C147" i="2"/>
  <c r="P147" i="2" s="1"/>
  <c r="C146" i="2"/>
  <c r="C145" i="2"/>
  <c r="P145" i="2" s="1"/>
  <c r="C144" i="2"/>
  <c r="J143" i="2"/>
  <c r="C143" i="2"/>
  <c r="P143" i="2" s="1"/>
  <c r="C142" i="2"/>
  <c r="C141" i="2"/>
  <c r="C136" i="2"/>
  <c r="L135" i="2"/>
  <c r="K135" i="2"/>
  <c r="J135" i="2"/>
  <c r="C135" i="2"/>
  <c r="C134" i="2"/>
  <c r="P134" i="2" s="1"/>
  <c r="C133" i="2"/>
  <c r="C132" i="2"/>
  <c r="H127" i="2"/>
  <c r="C126" i="2"/>
  <c r="C125" i="2"/>
  <c r="O125" i="2" s="1"/>
  <c r="C124" i="2"/>
  <c r="C123" i="2"/>
  <c r="C122" i="2"/>
  <c r="N122" i="2" s="1"/>
  <c r="H117" i="2"/>
  <c r="G117" i="2"/>
  <c r="J116" i="2"/>
  <c r="C116" i="2"/>
  <c r="O116" i="2" s="1"/>
  <c r="C115" i="2"/>
  <c r="O115" i="2" s="1"/>
  <c r="C114" i="2"/>
  <c r="C113" i="2"/>
  <c r="P113" i="2" s="1"/>
  <c r="C112" i="2"/>
  <c r="C111" i="2"/>
  <c r="P111" i="2" s="1"/>
  <c r="C110" i="2"/>
  <c r="C109" i="2"/>
  <c r="P109" i="2" s="1"/>
  <c r="C108" i="2"/>
  <c r="C107" i="2"/>
  <c r="C104" i="2"/>
  <c r="L183" i="2" s="1"/>
  <c r="B104" i="2"/>
  <c r="C103" i="2"/>
  <c r="L182" i="2" s="1"/>
  <c r="B103" i="2"/>
  <c r="H102" i="2"/>
  <c r="G102" i="2"/>
  <c r="C102" i="2"/>
  <c r="L181" i="2" s="1"/>
  <c r="B102" i="2"/>
  <c r="C101" i="2"/>
  <c r="B101" i="2"/>
  <c r="J100" i="2"/>
  <c r="C100" i="2"/>
  <c r="L179" i="2" s="1"/>
  <c r="B100" i="2"/>
  <c r="C99" i="2"/>
  <c r="L178" i="2" s="1"/>
  <c r="K98" i="2"/>
  <c r="C98" i="2"/>
  <c r="P98" i="2" s="1"/>
  <c r="C97" i="2"/>
  <c r="L176" i="2" s="1"/>
  <c r="C96" i="2"/>
  <c r="K96" i="2" s="1"/>
  <c r="C95" i="2"/>
  <c r="L174" i="2" s="1"/>
  <c r="C94" i="2"/>
  <c r="P94" i="2" s="1"/>
  <c r="B94" i="2"/>
  <c r="B93" i="2"/>
  <c r="B92" i="2"/>
  <c r="C91" i="2"/>
  <c r="B91" i="2"/>
  <c r="B90" i="2"/>
  <c r="B89" i="2"/>
  <c r="B88" i="2"/>
  <c r="H87" i="2"/>
  <c r="G87" i="2"/>
  <c r="B87" i="2"/>
  <c r="L86" i="2"/>
  <c r="C86" i="2"/>
  <c r="B86" i="2"/>
  <c r="L85" i="2"/>
  <c r="C85" i="2"/>
  <c r="B85" i="2"/>
  <c r="O84" i="2"/>
  <c r="C84" i="2"/>
  <c r="B84" i="2"/>
  <c r="C83" i="2"/>
  <c r="C82" i="2"/>
  <c r="C81" i="2"/>
  <c r="C80" i="2"/>
  <c r="C79" i="2"/>
  <c r="C78" i="2"/>
  <c r="O77" i="2"/>
  <c r="C77" i="2"/>
  <c r="C76" i="2"/>
  <c r="C75" i="2"/>
  <c r="C74" i="2"/>
  <c r="C71" i="2"/>
  <c r="B71" i="2"/>
  <c r="B70" i="2"/>
  <c r="B69" i="2"/>
  <c r="B68" i="2"/>
  <c r="B67" i="2"/>
  <c r="K66" i="2"/>
  <c r="I66" i="2"/>
  <c r="G66" i="2"/>
  <c r="C66" i="2"/>
  <c r="O66" i="2" s="1"/>
  <c r="B66" i="2"/>
  <c r="I65" i="2"/>
  <c r="C65" i="2"/>
  <c r="M65" i="2" s="1"/>
  <c r="B65" i="2"/>
  <c r="I64" i="2"/>
  <c r="C64" i="2"/>
  <c r="P64" i="2" s="1"/>
  <c r="B64" i="2"/>
  <c r="I63" i="2"/>
  <c r="C63" i="2"/>
  <c r="P63" i="2" s="1"/>
  <c r="I62" i="2"/>
  <c r="C62" i="2"/>
  <c r="P62" i="2" s="1"/>
  <c r="I61" i="2"/>
  <c r="C61" i="2"/>
  <c r="P61" i="2" s="1"/>
  <c r="I60" i="2"/>
  <c r="C60" i="2"/>
  <c r="P60" i="2" s="1"/>
  <c r="I59" i="2"/>
  <c r="C59" i="2"/>
  <c r="P59" i="2" s="1"/>
  <c r="I58" i="2"/>
  <c r="C58" i="2"/>
  <c r="L101" i="2" s="1"/>
  <c r="B58" i="2"/>
  <c r="I57" i="2"/>
  <c r="C57" i="2"/>
  <c r="O57" i="2" s="1"/>
  <c r="B57" i="2"/>
  <c r="I56" i="2"/>
  <c r="C56" i="2"/>
  <c r="P56" i="2" s="1"/>
  <c r="B56" i="2"/>
  <c r="B55" i="2"/>
  <c r="B54" i="2"/>
  <c r="B53" i="2"/>
  <c r="B52" i="2"/>
  <c r="B51" i="2"/>
  <c r="B50" i="2"/>
  <c r="B49" i="2"/>
  <c r="B48" i="2"/>
  <c r="H47" i="2"/>
  <c r="G47" i="2"/>
  <c r="B47" i="2"/>
  <c r="C46" i="2"/>
  <c r="O46" i="2" s="1"/>
  <c r="B46" i="2"/>
  <c r="C45" i="2"/>
  <c r="O45" i="2" s="1"/>
  <c r="B45" i="2"/>
  <c r="C44" i="2"/>
  <c r="L72" i="2" s="1"/>
  <c r="B44" i="2"/>
  <c r="C43" i="2"/>
  <c r="O43" i="2" s="1"/>
  <c r="C42" i="2"/>
  <c r="P42" i="2" s="1"/>
  <c r="C41" i="2"/>
  <c r="O41" i="2" s="1"/>
  <c r="C40" i="2"/>
  <c r="P40" i="2" s="1"/>
  <c r="C39" i="2"/>
  <c r="O39" i="2" s="1"/>
  <c r="C38" i="2"/>
  <c r="P38" i="2" s="1"/>
  <c r="C37" i="2"/>
  <c r="O37" i="2" s="1"/>
  <c r="C36" i="2"/>
  <c r="P36" i="2" s="1"/>
  <c r="C35" i="2"/>
  <c r="O35" i="2" s="1"/>
  <c r="C34" i="2"/>
  <c r="P34" i="2" s="1"/>
  <c r="C33" i="2"/>
  <c r="O33" i="2" s="1"/>
  <c r="C32" i="2"/>
  <c r="B32" i="2"/>
  <c r="B31" i="2"/>
  <c r="B30" i="2"/>
  <c r="B29" i="2"/>
  <c r="B28" i="2"/>
  <c r="B27" i="2"/>
  <c r="B26" i="2"/>
  <c r="H25" i="2"/>
  <c r="G25" i="2"/>
  <c r="B25" i="2"/>
  <c r="C24" i="2"/>
  <c r="P24" i="2" s="1"/>
  <c r="B24" i="2"/>
  <c r="C23" i="2"/>
  <c r="P23" i="2" s="1"/>
  <c r="B23" i="2"/>
  <c r="C22" i="2"/>
  <c r="P22" i="2" s="1"/>
  <c r="B22" i="2"/>
  <c r="C21" i="2"/>
  <c r="P21" i="2" s="1"/>
  <c r="B21" i="2"/>
  <c r="C20" i="2"/>
  <c r="P20" i="2" s="1"/>
  <c r="B20" i="2"/>
  <c r="C19" i="2"/>
  <c r="P19" i="2" s="1"/>
  <c r="B19" i="2"/>
  <c r="C18" i="2"/>
  <c r="P18" i="2" s="1"/>
  <c r="B18" i="2"/>
  <c r="C17" i="2"/>
  <c r="P17" i="2" s="1"/>
  <c r="B17" i="2"/>
  <c r="C16" i="2"/>
  <c r="P16" i="2" s="1"/>
  <c r="B16" i="2"/>
  <c r="C15" i="2"/>
  <c r="P15" i="2" s="1"/>
  <c r="B15" i="2"/>
  <c r="B14" i="2"/>
  <c r="B13" i="2"/>
  <c r="B12" i="2"/>
  <c r="B11" i="2"/>
  <c r="B10" i="2"/>
  <c r="Q9" i="2"/>
  <c r="B9" i="2"/>
  <c r="Q8" i="2"/>
  <c r="B8" i="2"/>
  <c r="B7" i="2"/>
  <c r="D5" i="2"/>
  <c r="AC24" i="2" s="1"/>
  <c r="B5" i="2"/>
  <c r="N4" i="2"/>
  <c r="D4" i="2"/>
  <c r="B4" i="2"/>
  <c r="P3" i="2"/>
  <c r="O3" i="2"/>
  <c r="M3" i="2"/>
  <c r="B3" i="2"/>
  <c r="B2" i="2"/>
  <c r="C30" i="1"/>
  <c r="J30" i="1" s="1"/>
  <c r="J29" i="1"/>
  <c r="C28" i="1"/>
  <c r="J28" i="1" s="1"/>
  <c r="J27" i="1"/>
  <c r="C26" i="1"/>
  <c r="J26" i="1" s="1"/>
  <c r="J25" i="1"/>
  <c r="C24" i="1"/>
  <c r="J24" i="1" s="1"/>
  <c r="J23" i="1"/>
  <c r="J22" i="1"/>
  <c r="C22" i="1"/>
  <c r="J21" i="1"/>
  <c r="C20" i="1"/>
  <c r="J20" i="1" s="1"/>
  <c r="J19" i="1"/>
  <c r="C18" i="1"/>
  <c r="J18" i="1" s="1"/>
  <c r="J17" i="1"/>
  <c r="K16" i="1"/>
  <c r="J16" i="1"/>
  <c r="K15" i="1"/>
  <c r="J15" i="1"/>
  <c r="K14" i="1"/>
  <c r="C14" i="1"/>
  <c r="J14" i="1" s="1"/>
  <c r="C12" i="1"/>
  <c r="J12" i="1" s="1"/>
  <c r="O36" i="2" l="1"/>
  <c r="O40" i="2"/>
  <c r="P74" i="2"/>
  <c r="K74" i="2"/>
  <c r="J74" i="2"/>
  <c r="K76" i="2"/>
  <c r="J76" i="2"/>
  <c r="P79" i="2"/>
  <c r="K79" i="2"/>
  <c r="J79" i="2"/>
  <c r="P81" i="2"/>
  <c r="K81" i="2"/>
  <c r="J81" i="2"/>
  <c r="P82" i="2"/>
  <c r="K82" i="2"/>
  <c r="J82" i="2"/>
  <c r="O85" i="2"/>
  <c r="K85" i="2"/>
  <c r="J85" i="2"/>
  <c r="O97" i="2"/>
  <c r="O111" i="2"/>
  <c r="P115" i="2"/>
  <c r="N197" i="2"/>
  <c r="Y12" i="6"/>
  <c r="AG12" i="6"/>
  <c r="J36" i="2"/>
  <c r="J40" i="2"/>
  <c r="G65" i="2"/>
  <c r="K65" i="2"/>
  <c r="P66" i="2"/>
  <c r="P75" i="2"/>
  <c r="K75" i="2"/>
  <c r="J75" i="2"/>
  <c r="P77" i="2"/>
  <c r="K77" i="2"/>
  <c r="J77" i="2"/>
  <c r="P78" i="2"/>
  <c r="K78" i="2"/>
  <c r="J78" i="2"/>
  <c r="K80" i="2"/>
  <c r="J80" i="2"/>
  <c r="O81" i="2"/>
  <c r="P83" i="2"/>
  <c r="K83" i="2"/>
  <c r="J83" i="2"/>
  <c r="P84" i="2"/>
  <c r="K84" i="2"/>
  <c r="J84" i="2"/>
  <c r="M86" i="2"/>
  <c r="K86" i="2"/>
  <c r="J86" i="2"/>
  <c r="K94" i="2"/>
  <c r="J97" i="2"/>
  <c r="N100" i="2"/>
  <c r="J111" i="2"/>
  <c r="J115" i="2"/>
  <c r="P116" i="2"/>
  <c r="M134" i="2"/>
  <c r="O143" i="2"/>
  <c r="O147" i="2"/>
  <c r="P150" i="2"/>
  <c r="O157" i="2"/>
  <c r="O161" i="2"/>
  <c r="J197" i="2"/>
  <c r="N200" i="2"/>
  <c r="J202" i="2"/>
  <c r="N202" i="2"/>
  <c r="J204" i="2"/>
  <c r="N204" i="2"/>
  <c r="N220" i="2"/>
  <c r="C227" i="2"/>
  <c r="C92" i="2"/>
  <c r="J125" i="2" s="1"/>
  <c r="CO12" i="3"/>
  <c r="U12" i="6"/>
  <c r="AC12" i="6"/>
  <c r="F8" i="7"/>
  <c r="F30" i="7"/>
  <c r="F35" i="7" s="1"/>
  <c r="AB10" i="2"/>
  <c r="AB11" i="2"/>
  <c r="AB12" i="2"/>
  <c r="AB13" i="2"/>
  <c r="AB14" i="2"/>
  <c r="Z15" i="2"/>
  <c r="AD15" i="2"/>
  <c r="AB16" i="2"/>
  <c r="Z17" i="2"/>
  <c r="AD17" i="2"/>
  <c r="AB18" i="2"/>
  <c r="Z19" i="2"/>
  <c r="AD19" i="2"/>
  <c r="AB20" i="2"/>
  <c r="Z21" i="2"/>
  <c r="AD21" i="2"/>
  <c r="AB22" i="2"/>
  <c r="Z23" i="2"/>
  <c r="AD23" i="2"/>
  <c r="AB24" i="2"/>
  <c r="M34" i="2"/>
  <c r="M38" i="2"/>
  <c r="M42" i="2"/>
  <c r="L45" i="2"/>
  <c r="P45" i="2"/>
  <c r="N57" i="2"/>
  <c r="M64" i="2"/>
  <c r="M75" i="2"/>
  <c r="P76" i="2"/>
  <c r="M79" i="2"/>
  <c r="P80" i="2"/>
  <c r="M83" i="2"/>
  <c r="P85" i="2"/>
  <c r="M95" i="2"/>
  <c r="P96" i="2"/>
  <c r="M99" i="2"/>
  <c r="M109" i="2"/>
  <c r="M113" i="2"/>
  <c r="P123" i="2"/>
  <c r="L197" i="2"/>
  <c r="O123" i="2"/>
  <c r="N125" i="2"/>
  <c r="O126" i="2"/>
  <c r="L200" i="2"/>
  <c r="P126" i="2"/>
  <c r="M145" i="2"/>
  <c r="P149" i="2"/>
  <c r="P159" i="2"/>
  <c r="O159" i="2"/>
  <c r="M159" i="2"/>
  <c r="P163" i="2"/>
  <c r="O163" i="2"/>
  <c r="J163" i="2"/>
  <c r="M165" i="2"/>
  <c r="K165" i="2"/>
  <c r="M185" i="2"/>
  <c r="K185" i="2"/>
  <c r="O196" i="2"/>
  <c r="N196" i="2"/>
  <c r="J196" i="2"/>
  <c r="P196" i="2"/>
  <c r="O198" i="2"/>
  <c r="P198" i="2"/>
  <c r="J198" i="2"/>
  <c r="O199" i="2"/>
  <c r="N199" i="2"/>
  <c r="J199" i="2"/>
  <c r="P199" i="2"/>
  <c r="O201" i="2"/>
  <c r="N201" i="2"/>
  <c r="J201" i="2"/>
  <c r="P201" i="2"/>
  <c r="O205" i="2"/>
  <c r="N205" i="2"/>
  <c r="J205" i="2"/>
  <c r="P205" i="2"/>
  <c r="O217" i="2"/>
  <c r="N217" i="2"/>
  <c r="J217" i="2"/>
  <c r="P217" i="2"/>
  <c r="AD13" i="3"/>
  <c r="CS12" i="3"/>
  <c r="C156" i="2"/>
  <c r="J156" i="2" s="1"/>
  <c r="AK46" i="3"/>
  <c r="AI46" i="3"/>
  <c r="Z10" i="2"/>
  <c r="AD10" i="2"/>
  <c r="Z11" i="2"/>
  <c r="AD11" i="2"/>
  <c r="Z12" i="2"/>
  <c r="AD12" i="2"/>
  <c r="Z13" i="2"/>
  <c r="AD13" i="2"/>
  <c r="Z14" i="2"/>
  <c r="AD14" i="2"/>
  <c r="AB15" i="2"/>
  <c r="Z16" i="2"/>
  <c r="AD16" i="2"/>
  <c r="AB17" i="2"/>
  <c r="Z18" i="2"/>
  <c r="AD18" i="2"/>
  <c r="AB19" i="2"/>
  <c r="Z20" i="2"/>
  <c r="AD20" i="2"/>
  <c r="AB21" i="2"/>
  <c r="Z22" i="2"/>
  <c r="AD22" i="2"/>
  <c r="AB23" i="2"/>
  <c r="Z24" i="2"/>
  <c r="AD24" i="2"/>
  <c r="J34" i="2"/>
  <c r="O34" i="2"/>
  <c r="M36" i="2"/>
  <c r="J38" i="2"/>
  <c r="O38" i="2"/>
  <c r="M40" i="2"/>
  <c r="J42" i="2"/>
  <c r="O42" i="2"/>
  <c r="J45" i="2"/>
  <c r="N45" i="2"/>
  <c r="G57" i="2"/>
  <c r="K57" i="2"/>
  <c r="P57" i="2"/>
  <c r="G64" i="2"/>
  <c r="K64" i="2"/>
  <c r="O64" i="2"/>
  <c r="N66" i="2"/>
  <c r="O75" i="2"/>
  <c r="M77" i="2"/>
  <c r="O79" i="2"/>
  <c r="M81" i="2"/>
  <c r="O83" i="2"/>
  <c r="M84" i="2"/>
  <c r="N85" i="2"/>
  <c r="J95" i="2"/>
  <c r="O95" i="2"/>
  <c r="M97" i="2"/>
  <c r="J99" i="2"/>
  <c r="O99" i="2"/>
  <c r="L100" i="2"/>
  <c r="P100" i="2"/>
  <c r="J109" i="2"/>
  <c r="O109" i="2"/>
  <c r="M111" i="2"/>
  <c r="J113" i="2"/>
  <c r="O113" i="2"/>
  <c r="N115" i="2"/>
  <c r="N116" i="2"/>
  <c r="O122" i="2"/>
  <c r="L220" i="2"/>
  <c r="P122" i="2"/>
  <c r="M123" i="2"/>
  <c r="P125" i="2"/>
  <c r="N126" i="2"/>
  <c r="K132" i="2"/>
  <c r="O134" i="2"/>
  <c r="M143" i="2"/>
  <c r="J145" i="2"/>
  <c r="O145" i="2"/>
  <c r="M147" i="2"/>
  <c r="J149" i="2"/>
  <c r="N149" i="2"/>
  <c r="N150" i="2"/>
  <c r="M157" i="2"/>
  <c r="J159" i="2"/>
  <c r="M163" i="2"/>
  <c r="O194" i="2"/>
  <c r="N194" i="2"/>
  <c r="J194" i="2"/>
  <c r="P194" i="2"/>
  <c r="L196" i="2"/>
  <c r="N198" i="2"/>
  <c r="L199" i="2"/>
  <c r="O203" i="2"/>
  <c r="N203" i="2"/>
  <c r="J203" i="2"/>
  <c r="P203" i="2"/>
  <c r="O219" i="2"/>
  <c r="N219" i="2"/>
  <c r="J219" i="2"/>
  <c r="P219" i="2"/>
  <c r="M161" i="2"/>
  <c r="P193" i="2"/>
  <c r="P195" i="2"/>
  <c r="P197" i="2"/>
  <c r="P200" i="2"/>
  <c r="P202" i="2"/>
  <c r="P204" i="2"/>
  <c r="P218" i="2"/>
  <c r="P220" i="2"/>
  <c r="AW12" i="3"/>
  <c r="CW13" i="3" s="1"/>
  <c r="C226" i="2"/>
  <c r="H226" i="2" s="1"/>
  <c r="CO13" i="3"/>
  <c r="CO15" i="3"/>
  <c r="C17" i="3"/>
  <c r="CO17" i="3" s="1"/>
  <c r="W12" i="6"/>
  <c r="AA12" i="6"/>
  <c r="AE12" i="6"/>
  <c r="AI12" i="6"/>
  <c r="F11" i="7"/>
  <c r="F22" i="7" s="1"/>
  <c r="F38" i="7"/>
  <c r="F48" i="7" s="1"/>
  <c r="J31" i="1"/>
  <c r="D11" i="1" s="1"/>
  <c r="I30" i="4"/>
  <c r="I30" i="5"/>
  <c r="D21" i="6"/>
  <c r="D20" i="6"/>
  <c r="D19" i="6"/>
  <c r="K15" i="2"/>
  <c r="M15" i="2"/>
  <c r="O15" i="2"/>
  <c r="K16" i="2"/>
  <c r="M16" i="2"/>
  <c r="O16" i="2"/>
  <c r="K17" i="2"/>
  <c r="M17" i="2"/>
  <c r="O17" i="2"/>
  <c r="K18" i="2"/>
  <c r="M18" i="2"/>
  <c r="O18" i="2"/>
  <c r="K19" i="2"/>
  <c r="M19" i="2"/>
  <c r="O19" i="2"/>
  <c r="K20" i="2"/>
  <c r="M20" i="2"/>
  <c r="O20" i="2"/>
  <c r="K21" i="2"/>
  <c r="M21" i="2"/>
  <c r="O21" i="2"/>
  <c r="K22" i="2"/>
  <c r="M22" i="2"/>
  <c r="O22" i="2"/>
  <c r="K23" i="2"/>
  <c r="M23" i="2"/>
  <c r="O23" i="2"/>
  <c r="K24" i="2"/>
  <c r="M24" i="2"/>
  <c r="O24" i="2"/>
  <c r="K33" i="2"/>
  <c r="N33" i="2"/>
  <c r="P33" i="2"/>
  <c r="K35" i="2"/>
  <c r="N35" i="2"/>
  <c r="P35" i="2"/>
  <c r="K37" i="2"/>
  <c r="N37" i="2"/>
  <c r="P37" i="2"/>
  <c r="K39" i="2"/>
  <c r="N39" i="2"/>
  <c r="P39" i="2"/>
  <c r="K41" i="2"/>
  <c r="N41" i="2"/>
  <c r="P41" i="2"/>
  <c r="K43" i="2"/>
  <c r="N43" i="2"/>
  <c r="P43" i="2"/>
  <c r="K44" i="2"/>
  <c r="M44" i="2"/>
  <c r="O44" i="2"/>
  <c r="K46" i="2"/>
  <c r="N46" i="2"/>
  <c r="P46" i="2"/>
  <c r="H56" i="2"/>
  <c r="J56" i="2"/>
  <c r="M56" i="2"/>
  <c r="O56" i="2"/>
  <c r="H58" i="2"/>
  <c r="J58" i="2"/>
  <c r="M58" i="2"/>
  <c r="O58" i="2"/>
  <c r="H59" i="2"/>
  <c r="J59" i="2"/>
  <c r="M59" i="2"/>
  <c r="O59" i="2"/>
  <c r="H60" i="2"/>
  <c r="J60" i="2"/>
  <c r="M60" i="2"/>
  <c r="O60" i="2"/>
  <c r="H61" i="2"/>
  <c r="J61" i="2"/>
  <c r="M61" i="2"/>
  <c r="O61" i="2"/>
  <c r="H62" i="2"/>
  <c r="J62" i="2"/>
  <c r="M62" i="2"/>
  <c r="O62" i="2"/>
  <c r="H63" i="2"/>
  <c r="J63" i="2"/>
  <c r="M63" i="2"/>
  <c r="O63" i="2"/>
  <c r="L180" i="2"/>
  <c r="P101" i="2"/>
  <c r="N101" i="2"/>
  <c r="J101" i="2"/>
  <c r="M101" i="2"/>
  <c r="L136" i="2"/>
  <c r="J136" i="2"/>
  <c r="J107" i="2"/>
  <c r="M107" i="2" s="1"/>
  <c r="O108" i="2"/>
  <c r="M108" i="2"/>
  <c r="J108" i="2"/>
  <c r="N108" i="2"/>
  <c r="O110" i="2"/>
  <c r="M110" i="2"/>
  <c r="J110" i="2"/>
  <c r="N110" i="2"/>
  <c r="O112" i="2"/>
  <c r="M112" i="2"/>
  <c r="J112" i="2"/>
  <c r="N112" i="2"/>
  <c r="O114" i="2"/>
  <c r="M114" i="2"/>
  <c r="J114" i="2"/>
  <c r="N114" i="2"/>
  <c r="O124" i="2"/>
  <c r="M124" i="2"/>
  <c r="P124" i="2"/>
  <c r="P132" i="2"/>
  <c r="N132" i="2"/>
  <c r="M132" i="2"/>
  <c r="O133" i="2"/>
  <c r="M133" i="2"/>
  <c r="P133" i="2"/>
  <c r="P135" i="2"/>
  <c r="N135" i="2"/>
  <c r="M135" i="2"/>
  <c r="P136" i="2"/>
  <c r="N136" i="2"/>
  <c r="M136" i="2"/>
  <c r="J141" i="2"/>
  <c r="M141" i="2" s="1"/>
  <c r="O142" i="2"/>
  <c r="M142" i="2"/>
  <c r="J142" i="2"/>
  <c r="N142" i="2"/>
  <c r="O144" i="2"/>
  <c r="M144" i="2"/>
  <c r="J144" i="2"/>
  <c r="N144" i="2"/>
  <c r="O146" i="2"/>
  <c r="M146" i="2"/>
  <c r="J146" i="2"/>
  <c r="N146" i="2"/>
  <c r="O148" i="2"/>
  <c r="M148" i="2"/>
  <c r="J148" i="2"/>
  <c r="N148" i="2"/>
  <c r="O158" i="2"/>
  <c r="M158" i="2"/>
  <c r="J158" i="2"/>
  <c r="N158" i="2"/>
  <c r="O160" i="2"/>
  <c r="M160" i="2"/>
  <c r="J160" i="2"/>
  <c r="N160" i="2"/>
  <c r="O162" i="2"/>
  <c r="M162" i="2"/>
  <c r="J162" i="2"/>
  <c r="N162" i="2"/>
  <c r="P164" i="2"/>
  <c r="N164" i="2"/>
  <c r="J164" i="2"/>
  <c r="O164" i="2"/>
  <c r="P173" i="2"/>
  <c r="N173" i="2"/>
  <c r="J173" i="2"/>
  <c r="M173" i="2"/>
  <c r="P174" i="2"/>
  <c r="N174" i="2"/>
  <c r="J174" i="2"/>
  <c r="M174" i="2"/>
  <c r="P175" i="2"/>
  <c r="N175" i="2"/>
  <c r="J175" i="2"/>
  <c r="M175" i="2"/>
  <c r="P176" i="2"/>
  <c r="N176" i="2"/>
  <c r="J176" i="2"/>
  <c r="M176" i="2"/>
  <c r="P177" i="2"/>
  <c r="N177" i="2"/>
  <c r="J177" i="2"/>
  <c r="M177" i="2"/>
  <c r="P178" i="2"/>
  <c r="N178" i="2"/>
  <c r="J178" i="2"/>
  <c r="M178" i="2"/>
  <c r="P179" i="2"/>
  <c r="N179" i="2"/>
  <c r="J179" i="2"/>
  <c r="M179" i="2"/>
  <c r="P180" i="2"/>
  <c r="N180" i="2"/>
  <c r="J180" i="2"/>
  <c r="M180" i="2"/>
  <c r="P181" i="2"/>
  <c r="N181" i="2"/>
  <c r="J181" i="2"/>
  <c r="M181" i="2"/>
  <c r="P182" i="2"/>
  <c r="N182" i="2"/>
  <c r="J182" i="2"/>
  <c r="M182" i="2"/>
  <c r="P183" i="2"/>
  <c r="N183" i="2"/>
  <c r="J183" i="2"/>
  <c r="M183" i="2"/>
  <c r="P184" i="2"/>
  <c r="N184" i="2"/>
  <c r="J184" i="2"/>
  <c r="O184" i="2"/>
  <c r="L198" i="2"/>
  <c r="H227" i="2"/>
  <c r="H228" i="2"/>
  <c r="M229" i="2"/>
  <c r="H229" i="2"/>
  <c r="M230" i="2"/>
  <c r="H230" i="2"/>
  <c r="T12" i="3"/>
  <c r="BS12" i="3"/>
  <c r="M226" i="2"/>
  <c r="J226" i="2"/>
  <c r="K125" i="2"/>
  <c r="AW13" i="3"/>
  <c r="O156" i="2"/>
  <c r="M156" i="2"/>
  <c r="K156" i="2"/>
  <c r="N156" i="2" s="1"/>
  <c r="AD39" i="3"/>
  <c r="L19" i="6"/>
  <c r="J19" i="6"/>
  <c r="M19" i="6"/>
  <c r="N19" i="6" s="1"/>
  <c r="L20" i="6"/>
  <c r="J20" i="6"/>
  <c r="M20" i="6"/>
  <c r="E22" i="6"/>
  <c r="AA10" i="2"/>
  <c r="AC10" i="2"/>
  <c r="AA11" i="2"/>
  <c r="AC11" i="2"/>
  <c r="AA12" i="2"/>
  <c r="AC12" i="2"/>
  <c r="AA13" i="2"/>
  <c r="AC13" i="2"/>
  <c r="AA14" i="2"/>
  <c r="AC14" i="2"/>
  <c r="J15" i="2"/>
  <c r="L15" i="2"/>
  <c r="N15" i="2"/>
  <c r="AA15" i="2"/>
  <c r="AC15" i="2"/>
  <c r="J16" i="2"/>
  <c r="L16" i="2"/>
  <c r="N16" i="2"/>
  <c r="AA16" i="2"/>
  <c r="AC16" i="2"/>
  <c r="J17" i="2"/>
  <c r="L17" i="2"/>
  <c r="N17" i="2"/>
  <c r="AA17" i="2"/>
  <c r="AC17" i="2"/>
  <c r="J18" i="2"/>
  <c r="L18" i="2"/>
  <c r="N18" i="2"/>
  <c r="AA18" i="2"/>
  <c r="AC18" i="2"/>
  <c r="J19" i="2"/>
  <c r="L19" i="2"/>
  <c r="N19" i="2"/>
  <c r="AA19" i="2"/>
  <c r="AC19" i="2"/>
  <c r="J20" i="2"/>
  <c r="L20" i="2"/>
  <c r="N20" i="2"/>
  <c r="AA20" i="2"/>
  <c r="AC20" i="2"/>
  <c r="J21" i="2"/>
  <c r="L21" i="2"/>
  <c r="N21" i="2"/>
  <c r="AA21" i="2"/>
  <c r="AC21" i="2"/>
  <c r="J22" i="2"/>
  <c r="L22" i="2"/>
  <c r="N22" i="2"/>
  <c r="AA22" i="2"/>
  <c r="AC22" i="2"/>
  <c r="J23" i="2"/>
  <c r="L23" i="2"/>
  <c r="N23" i="2"/>
  <c r="AA23" i="2"/>
  <c r="AC23" i="2"/>
  <c r="J24" i="2"/>
  <c r="L24" i="2"/>
  <c r="N24" i="2"/>
  <c r="AA24" i="2"/>
  <c r="L32" i="2"/>
  <c r="J33" i="2"/>
  <c r="M33" i="2"/>
  <c r="K34" i="2"/>
  <c r="N34" i="2"/>
  <c r="J35" i="2"/>
  <c r="M35" i="2"/>
  <c r="K36" i="2"/>
  <c r="N36" i="2"/>
  <c r="J37" i="2"/>
  <c r="M37" i="2"/>
  <c r="K38" i="2"/>
  <c r="N38" i="2"/>
  <c r="J39" i="2"/>
  <c r="M39" i="2"/>
  <c r="K40" i="2"/>
  <c r="N40" i="2"/>
  <c r="J41" i="2"/>
  <c r="M41" i="2"/>
  <c r="K42" i="2"/>
  <c r="N42" i="2"/>
  <c r="J43" i="2"/>
  <c r="M43" i="2"/>
  <c r="J44" i="2"/>
  <c r="L44" i="2"/>
  <c r="N44" i="2"/>
  <c r="P44" i="2"/>
  <c r="K45" i="2"/>
  <c r="M45" i="2"/>
  <c r="J46" i="2"/>
  <c r="M46" i="2"/>
  <c r="G56" i="2"/>
  <c r="K56" i="2"/>
  <c r="N56" i="2"/>
  <c r="H57" i="2"/>
  <c r="J57" i="2"/>
  <c r="M57" i="2"/>
  <c r="G58" i="2"/>
  <c r="K58" i="2"/>
  <c r="N58" i="2"/>
  <c r="P58" i="2"/>
  <c r="G59" i="2"/>
  <c r="K59" i="2"/>
  <c r="N59" i="2"/>
  <c r="G60" i="2"/>
  <c r="K60" i="2"/>
  <c r="N60" i="2"/>
  <c r="G61" i="2"/>
  <c r="K61" i="2"/>
  <c r="N61" i="2"/>
  <c r="G62" i="2"/>
  <c r="K62" i="2"/>
  <c r="N62" i="2"/>
  <c r="G63" i="2"/>
  <c r="K63" i="2"/>
  <c r="N63" i="2"/>
  <c r="H64" i="2"/>
  <c r="J64" i="2"/>
  <c r="L64" i="2"/>
  <c r="N64" i="2"/>
  <c r="P65" i="2"/>
  <c r="N65" i="2"/>
  <c r="H65" i="2"/>
  <c r="J65" i="2"/>
  <c r="L65" i="2"/>
  <c r="O65" i="2"/>
  <c r="O74" i="2"/>
  <c r="M74" i="2"/>
  <c r="N74" i="2"/>
  <c r="O76" i="2"/>
  <c r="M76" i="2"/>
  <c r="N76" i="2"/>
  <c r="O78" i="2"/>
  <c r="M78" i="2"/>
  <c r="N78" i="2"/>
  <c r="O80" i="2"/>
  <c r="M80" i="2"/>
  <c r="N80" i="2"/>
  <c r="O82" i="2"/>
  <c r="M82" i="2"/>
  <c r="N82" i="2"/>
  <c r="P86" i="2"/>
  <c r="N86" i="2"/>
  <c r="O86" i="2"/>
  <c r="L173" i="2"/>
  <c r="O94" i="2"/>
  <c r="M94" i="2"/>
  <c r="J94" i="2"/>
  <c r="N94" i="2"/>
  <c r="L175" i="2"/>
  <c r="O96" i="2"/>
  <c r="M96" i="2"/>
  <c r="J96" i="2"/>
  <c r="N96" i="2"/>
  <c r="L177" i="2"/>
  <c r="O98" i="2"/>
  <c r="M98" i="2"/>
  <c r="J98" i="2"/>
  <c r="N98" i="2"/>
  <c r="K101" i="2"/>
  <c r="O101" i="2"/>
  <c r="K107" i="2"/>
  <c r="N107" i="2" s="1"/>
  <c r="O107" i="2"/>
  <c r="O117" i="2" s="1"/>
  <c r="I23" i="4" s="1"/>
  <c r="K108" i="2"/>
  <c r="P108" i="2"/>
  <c r="K110" i="2"/>
  <c r="P110" i="2"/>
  <c r="K112" i="2"/>
  <c r="P112" i="2"/>
  <c r="K114" i="2"/>
  <c r="P114" i="2"/>
  <c r="N124" i="2"/>
  <c r="L125" i="2"/>
  <c r="O132" i="2"/>
  <c r="N133" i="2"/>
  <c r="O135" i="2"/>
  <c r="K136" i="2"/>
  <c r="O136" i="2"/>
  <c r="K141" i="2"/>
  <c r="N141" i="2" s="1"/>
  <c r="O141" i="2"/>
  <c r="O151" i="2" s="1"/>
  <c r="I25" i="4" s="1"/>
  <c r="K142" i="2"/>
  <c r="P142" i="2"/>
  <c r="K144" i="2"/>
  <c r="P144" i="2"/>
  <c r="K146" i="2"/>
  <c r="P146" i="2"/>
  <c r="K148" i="2"/>
  <c r="P148" i="2"/>
  <c r="L150" i="2"/>
  <c r="P156" i="2"/>
  <c r="K158" i="2"/>
  <c r="P158" i="2"/>
  <c r="K160" i="2"/>
  <c r="P160" i="2"/>
  <c r="K162" i="2"/>
  <c r="P162" i="2"/>
  <c r="K164" i="2"/>
  <c r="M164" i="2"/>
  <c r="P165" i="2"/>
  <c r="N165" i="2"/>
  <c r="J165" i="2"/>
  <c r="O165" i="2"/>
  <c r="K173" i="2"/>
  <c r="O173" i="2"/>
  <c r="K174" i="2"/>
  <c r="O174" i="2"/>
  <c r="K175" i="2"/>
  <c r="O175" i="2"/>
  <c r="K176" i="2"/>
  <c r="O176" i="2"/>
  <c r="K177" i="2"/>
  <c r="O177" i="2"/>
  <c r="K178" i="2"/>
  <c r="O178" i="2"/>
  <c r="K179" i="2"/>
  <c r="O179" i="2"/>
  <c r="K180" i="2"/>
  <c r="O180" i="2"/>
  <c r="K181" i="2"/>
  <c r="O181" i="2"/>
  <c r="K182" i="2"/>
  <c r="O182" i="2"/>
  <c r="K183" i="2"/>
  <c r="O183" i="2"/>
  <c r="K184" i="2"/>
  <c r="M184" i="2"/>
  <c r="P185" i="2"/>
  <c r="N185" i="2"/>
  <c r="J185" i="2"/>
  <c r="O185" i="2"/>
  <c r="J227" i="2"/>
  <c r="J228" i="2"/>
  <c r="J229" i="2"/>
  <c r="J230" i="2"/>
  <c r="CO14" i="3"/>
  <c r="C18" i="3"/>
  <c r="CY26" i="3"/>
  <c r="BJ26" i="3"/>
  <c r="CO107" i="3"/>
  <c r="C108" i="3"/>
  <c r="H66" i="2"/>
  <c r="J66" i="2"/>
  <c r="M66" i="2"/>
  <c r="N75" i="2"/>
  <c r="N77" i="2"/>
  <c r="N79" i="2"/>
  <c r="N81" i="2"/>
  <c r="N83" i="2"/>
  <c r="N84" i="2"/>
  <c r="M85" i="2"/>
  <c r="K95" i="2"/>
  <c r="N95" i="2"/>
  <c r="P95" i="2"/>
  <c r="K97" i="2"/>
  <c r="N97" i="2"/>
  <c r="P97" i="2"/>
  <c r="K99" i="2"/>
  <c r="N99" i="2"/>
  <c r="P99" i="2"/>
  <c r="K100" i="2"/>
  <c r="M100" i="2"/>
  <c r="O100" i="2"/>
  <c r="K109" i="2"/>
  <c r="N109" i="2"/>
  <c r="K111" i="2"/>
  <c r="N111" i="2"/>
  <c r="K113" i="2"/>
  <c r="N113" i="2"/>
  <c r="K115" i="2"/>
  <c r="M115" i="2"/>
  <c r="K116" i="2"/>
  <c r="M116" i="2"/>
  <c r="M122" i="2"/>
  <c r="N123" i="2"/>
  <c r="M125" i="2"/>
  <c r="M126" i="2"/>
  <c r="J132" i="2"/>
  <c r="L132" i="2"/>
  <c r="N134" i="2"/>
  <c r="L141" i="2"/>
  <c r="K143" i="2"/>
  <c r="N143" i="2"/>
  <c r="K145" i="2"/>
  <c r="N145" i="2"/>
  <c r="K147" i="2"/>
  <c r="N147" i="2"/>
  <c r="K149" i="2"/>
  <c r="M149" i="2"/>
  <c r="K150" i="2"/>
  <c r="M150" i="2"/>
  <c r="K157" i="2"/>
  <c r="N157" i="2"/>
  <c r="K159" i="2"/>
  <c r="N159" i="2"/>
  <c r="K161" i="2"/>
  <c r="N161" i="2"/>
  <c r="K163" i="2"/>
  <c r="N163" i="2"/>
  <c r="K193" i="2"/>
  <c r="M193" i="2"/>
  <c r="K194" i="2"/>
  <c r="M194" i="2"/>
  <c r="K195" i="2"/>
  <c r="M195" i="2"/>
  <c r="K196" i="2"/>
  <c r="M196" i="2"/>
  <c r="K197" i="2"/>
  <c r="M197" i="2"/>
  <c r="K198" i="2"/>
  <c r="M198" i="2"/>
  <c r="K199" i="2"/>
  <c r="M199" i="2"/>
  <c r="K200" i="2"/>
  <c r="M200" i="2"/>
  <c r="K201" i="2"/>
  <c r="M201" i="2"/>
  <c r="K202" i="2"/>
  <c r="M202" i="2"/>
  <c r="K203" i="2"/>
  <c r="M203" i="2"/>
  <c r="K204" i="2"/>
  <c r="M204" i="2"/>
  <c r="K205" i="2"/>
  <c r="M205" i="2"/>
  <c r="K217" i="2"/>
  <c r="M217" i="2"/>
  <c r="K218" i="2"/>
  <c r="M218" i="2"/>
  <c r="K219" i="2"/>
  <c r="M219" i="2"/>
  <c r="K220" i="2"/>
  <c r="M220" i="2"/>
  <c r="CU19" i="3"/>
  <c r="CA21" i="3"/>
  <c r="T13" i="6"/>
  <c r="T12" i="6"/>
  <c r="V13" i="6"/>
  <c r="V12" i="6"/>
  <c r="X13" i="6"/>
  <c r="X12" i="6"/>
  <c r="Z13" i="6"/>
  <c r="Z12" i="6"/>
  <c r="AB12" i="6"/>
  <c r="AB13" i="6" s="1"/>
  <c r="AD13" i="6"/>
  <c r="AD12" i="6"/>
  <c r="AF13" i="6"/>
  <c r="AF12" i="6"/>
  <c r="AH13" i="6"/>
  <c r="AH12" i="6"/>
  <c r="E22" i="7"/>
  <c r="P127" i="2" l="1"/>
  <c r="N127" i="2"/>
  <c r="O127" i="2"/>
  <c r="F58" i="7"/>
  <c r="N117" i="2"/>
  <c r="F21" i="5" s="1"/>
  <c r="M228" i="2"/>
  <c r="M117" i="2"/>
  <c r="F21" i="4" s="1"/>
  <c r="Z25" i="2"/>
  <c r="N151" i="2"/>
  <c r="F23" i="5" s="1"/>
  <c r="M227" i="2"/>
  <c r="M151" i="2"/>
  <c r="F23" i="4" s="1"/>
  <c r="AD25" i="2"/>
  <c r="AD14" i="3"/>
  <c r="CS13" i="3"/>
  <c r="AB25" i="2"/>
  <c r="AJ12" i="6"/>
  <c r="H12" i="6" s="1"/>
  <c r="DC22" i="3"/>
  <c r="CA22" i="3"/>
  <c r="AA25" i="2"/>
  <c r="CS39" i="3"/>
  <c r="AD40" i="3"/>
  <c r="N166" i="2"/>
  <c r="F22" i="5" s="1"/>
  <c r="O166" i="2"/>
  <c r="I24" i="4" s="1"/>
  <c r="M231" i="2"/>
  <c r="F27" i="4" s="1"/>
  <c r="T13" i="3"/>
  <c r="CQ13" i="3"/>
  <c r="P141" i="2"/>
  <c r="P151" i="2" s="1"/>
  <c r="I25" i="5" s="1"/>
  <c r="P107" i="2"/>
  <c r="P117" i="2" s="1"/>
  <c r="I23" i="5" s="1"/>
  <c r="H231" i="2"/>
  <c r="AJ13" i="6"/>
  <c r="H13" i="6" s="1"/>
  <c r="M127" i="2"/>
  <c r="C109" i="3"/>
  <c r="CO108" i="3"/>
  <c r="CY27" i="3"/>
  <c r="BJ27" i="3"/>
  <c r="CO18" i="3"/>
  <c r="C19" i="3"/>
  <c r="P166" i="2"/>
  <c r="I24" i="5" s="1"/>
  <c r="AC25" i="2"/>
  <c r="N20" i="6"/>
  <c r="M166" i="2"/>
  <c r="F22" i="4" s="1"/>
  <c r="AW14" i="3"/>
  <c r="CW14" i="3"/>
  <c r="C10" i="2" s="1"/>
  <c r="DA13" i="3"/>
  <c r="BS13" i="3"/>
  <c r="F21" i="6" l="1"/>
  <c r="F22" i="6" s="1"/>
  <c r="F60" i="7"/>
  <c r="G9" i="4"/>
  <c r="G10" i="4" s="1"/>
  <c r="G9" i="5"/>
  <c r="G10" i="5" s="1"/>
  <c r="AD15" i="3"/>
  <c r="CS14" i="3"/>
  <c r="CW15" i="3"/>
  <c r="AW15" i="3"/>
  <c r="CO19" i="3"/>
  <c r="C20" i="3"/>
  <c r="BJ28" i="3"/>
  <c r="CY28" i="3"/>
  <c r="CQ14" i="3"/>
  <c r="T14" i="3"/>
  <c r="CS40" i="3"/>
  <c r="AD41" i="3"/>
  <c r="BS14" i="3"/>
  <c r="DA14" i="3"/>
  <c r="CO109" i="3"/>
  <c r="C110" i="3"/>
  <c r="G12" i="5"/>
  <c r="G12" i="4"/>
  <c r="DC23" i="3"/>
  <c r="CA23" i="3"/>
  <c r="DC24" i="3" s="1"/>
  <c r="G11" i="4"/>
  <c r="G11" i="5"/>
  <c r="AD16" i="3" l="1"/>
  <c r="CS15" i="3"/>
  <c r="AD42" i="3"/>
  <c r="CS41" i="3"/>
  <c r="T15" i="3"/>
  <c r="CQ15" i="3"/>
  <c r="CO20" i="3"/>
  <c r="C21" i="3"/>
  <c r="CW16" i="3"/>
  <c r="AW16" i="3"/>
  <c r="C112" i="3"/>
  <c r="CO110" i="3"/>
  <c r="DA15" i="3"/>
  <c r="C216" i="2" s="1"/>
  <c r="BS15" i="3"/>
  <c r="L171" i="2"/>
  <c r="CY29" i="3"/>
  <c r="BJ29" i="3"/>
  <c r="CS16" i="3" l="1"/>
  <c r="AD17" i="3"/>
  <c r="K216" i="2"/>
  <c r="P216" i="2" s="1"/>
  <c r="P221" i="2" s="1"/>
  <c r="I29" i="5" s="1"/>
  <c r="J216" i="2"/>
  <c r="M216" i="2" s="1"/>
  <c r="M221" i="2" s="1"/>
  <c r="CQ16" i="3"/>
  <c r="T16" i="3"/>
  <c r="CW17" i="3"/>
  <c r="AW17" i="3"/>
  <c r="CO21" i="3"/>
  <c r="C22" i="3"/>
  <c r="BJ30" i="3"/>
  <c r="CY30" i="3"/>
  <c r="DA16" i="3"/>
  <c r="BS16" i="3"/>
  <c r="DA17" i="3" s="1"/>
  <c r="C113" i="3"/>
  <c r="CO112" i="3"/>
  <c r="AD43" i="3"/>
  <c r="CS42" i="3"/>
  <c r="N216" i="2" l="1"/>
  <c r="N221" i="2" s="1"/>
  <c r="F29" i="5" s="1"/>
  <c r="CS17" i="3"/>
  <c r="AD18" i="3"/>
  <c r="CO22" i="3"/>
  <c r="C23" i="3"/>
  <c r="K122" i="2"/>
  <c r="CY31" i="3"/>
  <c r="BJ31" i="3"/>
  <c r="L122" i="2"/>
  <c r="O216" i="2"/>
  <c r="O221" i="2" s="1"/>
  <c r="I29" i="4" s="1"/>
  <c r="AD44" i="3"/>
  <c r="CS43" i="3"/>
  <c r="C114" i="3"/>
  <c r="CO113" i="3"/>
  <c r="CW18" i="3"/>
  <c r="AW18" i="3"/>
  <c r="J122" i="2"/>
  <c r="CQ17" i="3"/>
  <c r="T17" i="3"/>
  <c r="L107" i="2"/>
  <c r="AD19" i="3" l="1"/>
  <c r="CS18" i="3"/>
  <c r="CQ18" i="3"/>
  <c r="T18" i="3"/>
  <c r="C115" i="3"/>
  <c r="CO114" i="3"/>
  <c r="AD45" i="3"/>
  <c r="CS44" i="3"/>
  <c r="CO23" i="3"/>
  <c r="C24" i="3"/>
  <c r="CW19" i="3"/>
  <c r="AW19" i="3"/>
  <c r="CY32" i="3"/>
  <c r="BJ32" i="3"/>
  <c r="C53" i="2"/>
  <c r="C52" i="2"/>
  <c r="AD20" i="3" l="1"/>
  <c r="CS19" i="3"/>
  <c r="H53" i="2"/>
  <c r="O53" i="2" s="1"/>
  <c r="G53" i="2"/>
  <c r="I53" i="2" s="1"/>
  <c r="C54" i="2"/>
  <c r="C55" i="2"/>
  <c r="C116" i="3"/>
  <c r="CO116" i="3" s="1"/>
  <c r="CO115" i="3"/>
  <c r="L52" i="2"/>
  <c r="H52" i="2"/>
  <c r="G52" i="2"/>
  <c r="N52" i="2" s="1"/>
  <c r="CY33" i="3"/>
  <c r="BJ33" i="3"/>
  <c r="CW20" i="3"/>
  <c r="AW20" i="3"/>
  <c r="C25" i="3"/>
  <c r="CO24" i="3"/>
  <c r="CQ19" i="3"/>
  <c r="T19" i="3"/>
  <c r="AD46" i="3"/>
  <c r="CS45" i="3"/>
  <c r="P53" i="2" l="1"/>
  <c r="AD21" i="3"/>
  <c r="CS20" i="3"/>
  <c r="AD47" i="3"/>
  <c r="CS46" i="3"/>
  <c r="C26" i="3"/>
  <c r="CO25" i="3"/>
  <c r="H55" i="2"/>
  <c r="G55" i="2"/>
  <c r="CQ20" i="3"/>
  <c r="T20" i="3"/>
  <c r="CW21" i="3"/>
  <c r="C93" i="2" s="1"/>
  <c r="AW21" i="3"/>
  <c r="CY34" i="3"/>
  <c r="BJ34" i="3"/>
  <c r="I52" i="2"/>
  <c r="M52" i="2"/>
  <c r="G54" i="2"/>
  <c r="G67" i="2" s="1"/>
  <c r="L92" i="2"/>
  <c r="H54" i="2"/>
  <c r="O54" i="2" s="1"/>
  <c r="I55" i="2" l="1"/>
  <c r="CS21" i="3"/>
  <c r="AD22" i="3"/>
  <c r="P54" i="2"/>
  <c r="L172" i="2"/>
  <c r="K126" i="2"/>
  <c r="J126" i="2"/>
  <c r="L126" i="2"/>
  <c r="H67" i="2"/>
  <c r="I54" i="2"/>
  <c r="CY35" i="3"/>
  <c r="C72" i="2" s="1"/>
  <c r="BJ35" i="3"/>
  <c r="CW22" i="3"/>
  <c r="AW22" i="3"/>
  <c r="CQ21" i="3"/>
  <c r="T21" i="3"/>
  <c r="N55" i="2"/>
  <c r="M55" i="2"/>
  <c r="CO26" i="3"/>
  <c r="C27" i="3"/>
  <c r="AD48" i="3"/>
  <c r="CS47" i="3"/>
  <c r="CS22" i="3" l="1"/>
  <c r="AD23" i="3"/>
  <c r="AD49" i="3"/>
  <c r="CS48" i="3"/>
  <c r="L115" i="2"/>
  <c r="CO27" i="3"/>
  <c r="C28" i="3"/>
  <c r="CQ22" i="3"/>
  <c r="T22" i="3"/>
  <c r="CW23" i="3"/>
  <c r="C11" i="2" s="1"/>
  <c r="AW23" i="3"/>
  <c r="BJ36" i="3"/>
  <c r="CY36" i="3"/>
  <c r="CS23" i="3" l="1"/>
  <c r="AD24" i="3"/>
  <c r="AW24" i="3"/>
  <c r="CW24" i="3"/>
  <c r="CQ23" i="3"/>
  <c r="T23" i="3"/>
  <c r="C29" i="3"/>
  <c r="CO28" i="3"/>
  <c r="AD50" i="3"/>
  <c r="CS49" i="3"/>
  <c r="CY37" i="3"/>
  <c r="BJ37" i="3"/>
  <c r="AD25" i="3" l="1"/>
  <c r="CS24" i="3"/>
  <c r="CS50" i="3"/>
  <c r="AD51" i="3"/>
  <c r="CO29" i="3"/>
  <c r="C30" i="3"/>
  <c r="AW25" i="3"/>
  <c r="CW25" i="3"/>
  <c r="CY38" i="3"/>
  <c r="BJ38" i="3"/>
  <c r="T24" i="3"/>
  <c r="CQ24" i="3"/>
  <c r="AD26" i="3" l="1"/>
  <c r="CS25" i="3"/>
  <c r="CQ25" i="3"/>
  <c r="T25" i="3"/>
  <c r="CW26" i="3"/>
  <c r="AW26" i="3"/>
  <c r="CY39" i="3"/>
  <c r="BJ39" i="3"/>
  <c r="J72" i="2" s="1"/>
  <c r="C31" i="3"/>
  <c r="CO30" i="3"/>
  <c r="AD52" i="3"/>
  <c r="CS51" i="3"/>
  <c r="AD27" i="3" l="1"/>
  <c r="CS26" i="3"/>
  <c r="AD53" i="3"/>
  <c r="CS52" i="3"/>
  <c r="CO31" i="3"/>
  <c r="C32" i="3"/>
  <c r="CY40" i="3"/>
  <c r="BJ40" i="3"/>
  <c r="CW27" i="3"/>
  <c r="AW27" i="3"/>
  <c r="CQ26" i="3"/>
  <c r="T26" i="3"/>
  <c r="CS27" i="3" l="1"/>
  <c r="AD28" i="3"/>
  <c r="CQ27" i="3"/>
  <c r="T27" i="3"/>
  <c r="AW28" i="3"/>
  <c r="CW28" i="3"/>
  <c r="M72" i="2"/>
  <c r="O72" i="2"/>
  <c r="CS53" i="3"/>
  <c r="AD54" i="3"/>
  <c r="CY41" i="3"/>
  <c r="BJ41" i="3"/>
  <c r="CO32" i="3"/>
  <c r="C33" i="3"/>
  <c r="AD29" i="3" l="1"/>
  <c r="CS28" i="3"/>
  <c r="CW29" i="3"/>
  <c r="AW29" i="3"/>
  <c r="CO33" i="3"/>
  <c r="C34" i="3"/>
  <c r="BJ42" i="3"/>
  <c r="K72" i="2" s="1"/>
  <c r="CY42" i="3"/>
  <c r="AD55" i="3"/>
  <c r="CS54" i="3"/>
  <c r="T28" i="3"/>
  <c r="CQ28" i="3"/>
  <c r="CS29" i="3" l="1"/>
  <c r="AD30" i="3"/>
  <c r="CS55" i="3"/>
  <c r="AD56" i="3"/>
  <c r="CY43" i="3"/>
  <c r="BJ43" i="3"/>
  <c r="CQ29" i="3"/>
  <c r="T29" i="3"/>
  <c r="CO34" i="3"/>
  <c r="C36" i="3"/>
  <c r="AW30" i="3"/>
  <c r="CW30" i="3"/>
  <c r="AD31" i="3" l="1"/>
  <c r="CS30" i="3"/>
  <c r="CW31" i="3"/>
  <c r="AW31" i="3"/>
  <c r="BJ44" i="3"/>
  <c r="CY44" i="3"/>
  <c r="AD57" i="3"/>
  <c r="CS56" i="3"/>
  <c r="C171" i="2" s="1"/>
  <c r="C37" i="3"/>
  <c r="CO36" i="3"/>
  <c r="T30" i="3"/>
  <c r="CQ30" i="3"/>
  <c r="P72" i="2"/>
  <c r="N72" i="2"/>
  <c r="CS31" i="3" l="1"/>
  <c r="AD32" i="3"/>
  <c r="CW32" i="3"/>
  <c r="AW32" i="3"/>
  <c r="CQ31" i="3"/>
  <c r="T31" i="3"/>
  <c r="CO37" i="3"/>
  <c r="C38" i="3"/>
  <c r="CS57" i="3"/>
  <c r="AD58" i="3"/>
  <c r="CY45" i="3"/>
  <c r="BJ45" i="3"/>
  <c r="CS32" i="3" l="1"/>
  <c r="AD33" i="3"/>
  <c r="CQ32" i="3"/>
  <c r="T32" i="3"/>
  <c r="BJ46" i="3"/>
  <c r="CY46" i="3"/>
  <c r="AD59" i="3"/>
  <c r="CS59" i="3" s="1"/>
  <c r="CS58" i="3"/>
  <c r="CO38" i="3"/>
  <c r="C39" i="3"/>
  <c r="CW33" i="3"/>
  <c r="AW33" i="3"/>
  <c r="CS33" i="3" l="1"/>
  <c r="AD34" i="3"/>
  <c r="CY47" i="3"/>
  <c r="BJ47" i="3"/>
  <c r="CQ33" i="3"/>
  <c r="T33" i="3"/>
  <c r="CW34" i="3"/>
  <c r="AW34" i="3"/>
  <c r="CO39" i="3"/>
  <c r="C40" i="3"/>
  <c r="AD35" i="3" l="1"/>
  <c r="CS34" i="3"/>
  <c r="CO40" i="3"/>
  <c r="C41" i="3"/>
  <c r="CW35" i="3"/>
  <c r="AW35" i="3"/>
  <c r="CQ34" i="3"/>
  <c r="T34" i="3"/>
  <c r="BJ48" i="3"/>
  <c r="CY48" i="3"/>
  <c r="J171" i="2" l="1"/>
  <c r="CS35" i="3"/>
  <c r="K172" i="2"/>
  <c r="K171" i="2"/>
  <c r="J172" i="2"/>
  <c r="CY49" i="3"/>
  <c r="BJ49" i="3"/>
  <c r="CQ35" i="3"/>
  <c r="T35" i="3"/>
  <c r="AW36" i="3"/>
  <c r="CW36" i="3"/>
  <c r="C42" i="3"/>
  <c r="CO41" i="3"/>
  <c r="M172" i="2" l="1"/>
  <c r="O172" i="2"/>
  <c r="N171" i="2"/>
  <c r="P171" i="2"/>
  <c r="P172" i="2"/>
  <c r="N172" i="2"/>
  <c r="N186" i="2" s="1"/>
  <c r="F19" i="5" s="1"/>
  <c r="O171" i="2"/>
  <c r="M171" i="2"/>
  <c r="M186" i="2" s="1"/>
  <c r="F19" i="4" s="1"/>
  <c r="T36" i="3"/>
  <c r="CQ36" i="3"/>
  <c r="CY50" i="3"/>
  <c r="C73" i="2" s="1"/>
  <c r="BJ50" i="3"/>
  <c r="C43" i="3"/>
  <c r="CO42" i="3"/>
  <c r="CW37" i="3"/>
  <c r="AW37" i="3"/>
  <c r="P186" i="2" l="1"/>
  <c r="I21" i="5" s="1"/>
  <c r="O186" i="2"/>
  <c r="I21" i="4" s="1"/>
  <c r="C44" i="3"/>
  <c r="CO43" i="3"/>
  <c r="CW38" i="3"/>
  <c r="AW38" i="3"/>
  <c r="BJ51" i="3"/>
  <c r="CY51" i="3"/>
  <c r="L116" i="2"/>
  <c r="CQ37" i="3"/>
  <c r="T37" i="3"/>
  <c r="CW39" i="3" l="1"/>
  <c r="AW39" i="3"/>
  <c r="CQ38" i="3"/>
  <c r="T38" i="3"/>
  <c r="CY52" i="3"/>
  <c r="BJ52" i="3"/>
  <c r="C45" i="3"/>
  <c r="CO44" i="3"/>
  <c r="CY53" i="3" l="1"/>
  <c r="BJ53" i="3"/>
  <c r="CQ39" i="3"/>
  <c r="T39" i="3"/>
  <c r="CW40" i="3"/>
  <c r="AW40" i="3"/>
  <c r="C46" i="3"/>
  <c r="CO45" i="3"/>
  <c r="CW41" i="3" l="1"/>
  <c r="AW41" i="3"/>
  <c r="CQ40" i="3"/>
  <c r="T40" i="3"/>
  <c r="CY54" i="3"/>
  <c r="BJ54" i="3"/>
  <c r="J73" i="2" s="1"/>
  <c r="C47" i="3"/>
  <c r="CO46" i="3"/>
  <c r="CY55" i="3" l="1"/>
  <c r="BJ55" i="3"/>
  <c r="T41" i="3"/>
  <c r="CQ41" i="3"/>
  <c r="AW42" i="3"/>
  <c r="CW42" i="3"/>
  <c r="C48" i="3"/>
  <c r="CO47" i="3"/>
  <c r="C49" i="3" l="1"/>
  <c r="CO48" i="3"/>
  <c r="CW43" i="3"/>
  <c r="AW43" i="3"/>
  <c r="T42" i="3"/>
  <c r="CQ42" i="3"/>
  <c r="CY56" i="3"/>
  <c r="BJ56" i="3"/>
  <c r="M73" i="2"/>
  <c r="M87" i="2" s="1"/>
  <c r="F24" i="4" s="1"/>
  <c r="O73" i="2"/>
  <c r="O87" i="2" s="1"/>
  <c r="I26" i="4" s="1"/>
  <c r="CY57" i="3" l="1"/>
  <c r="BJ57" i="3"/>
  <c r="AW44" i="3"/>
  <c r="CW44" i="3"/>
  <c r="T43" i="3"/>
  <c r="CQ43" i="3"/>
  <c r="C192" i="2" s="1"/>
  <c r="C50" i="3"/>
  <c r="CO49" i="3"/>
  <c r="BJ58" i="3" l="1"/>
  <c r="CY58" i="3"/>
  <c r="CO50" i="3"/>
  <c r="C51" i="3"/>
  <c r="CQ44" i="3"/>
  <c r="T44" i="3"/>
  <c r="CW45" i="3"/>
  <c r="AW45" i="3"/>
  <c r="AW46" i="3" l="1"/>
  <c r="CW46" i="3"/>
  <c r="T45" i="3"/>
  <c r="CQ45" i="3"/>
  <c r="C52" i="3"/>
  <c r="CO51" i="3"/>
  <c r="CY59" i="3"/>
  <c r="BJ59" i="3"/>
  <c r="K73" i="2" s="1"/>
  <c r="CY60" i="3" l="1"/>
  <c r="BJ60" i="3"/>
  <c r="C53" i="3"/>
  <c r="CO52" i="3"/>
  <c r="CQ46" i="3"/>
  <c r="T46" i="3"/>
  <c r="CW47" i="3"/>
  <c r="AW47" i="3"/>
  <c r="CO53" i="3" l="1"/>
  <c r="C54" i="3"/>
  <c r="CY61" i="3"/>
  <c r="BJ61" i="3"/>
  <c r="AW48" i="3"/>
  <c r="CW48" i="3"/>
  <c r="T47" i="3"/>
  <c r="CQ47" i="3"/>
  <c r="P73" i="2"/>
  <c r="P87" i="2" s="1"/>
  <c r="I26" i="5" s="1"/>
  <c r="N73" i="2"/>
  <c r="N87" i="2" s="1"/>
  <c r="F24" i="5" s="1"/>
  <c r="CY62" i="3" l="1"/>
  <c r="BJ62" i="3"/>
  <c r="C55" i="3"/>
  <c r="CO54" i="3"/>
  <c r="CQ48" i="3"/>
  <c r="T48" i="3"/>
  <c r="CW49" i="3"/>
  <c r="AW49" i="3"/>
  <c r="CW50" i="3" l="1"/>
  <c r="AW50" i="3"/>
  <c r="T49" i="3"/>
  <c r="CQ49" i="3"/>
  <c r="CY63" i="3"/>
  <c r="BJ63" i="3"/>
  <c r="CO55" i="3"/>
  <c r="C56" i="3"/>
  <c r="CO56" i="3" l="1"/>
  <c r="C58" i="3"/>
  <c r="CY64" i="3"/>
  <c r="BJ64" i="3"/>
  <c r="AW51" i="3"/>
  <c r="CW51" i="3"/>
  <c r="CQ50" i="3"/>
  <c r="T50" i="3"/>
  <c r="K191" i="2"/>
  <c r="J191" i="2"/>
  <c r="K192" i="2"/>
  <c r="J192" i="2"/>
  <c r="O192" i="2" l="1"/>
  <c r="M192" i="2"/>
  <c r="O191" i="2"/>
  <c r="O211" i="2" s="1"/>
  <c r="I22" i="4" s="1"/>
  <c r="I20" i="4" s="1"/>
  <c r="M191" i="2"/>
  <c r="M211" i="2" s="1"/>
  <c r="F20" i="4" s="1"/>
  <c r="F18" i="4" s="1"/>
  <c r="T51" i="3"/>
  <c r="CQ51" i="3"/>
  <c r="CY65" i="3"/>
  <c r="BJ65" i="3"/>
  <c r="C59" i="3"/>
  <c r="CO58" i="3"/>
  <c r="N192" i="2"/>
  <c r="P192" i="2"/>
  <c r="P191" i="2"/>
  <c r="P211" i="2" s="1"/>
  <c r="I22" i="5" s="1"/>
  <c r="I20" i="5" s="1"/>
  <c r="N191" i="2"/>
  <c r="AW53" i="3"/>
  <c r="CW52" i="3"/>
  <c r="N211" i="2" l="1"/>
  <c r="F20" i="5" s="1"/>
  <c r="F18" i="5" s="1"/>
  <c r="BJ66" i="3"/>
  <c r="CY66" i="3"/>
  <c r="CW54" i="3"/>
  <c r="AW54" i="3"/>
  <c r="CO59" i="3"/>
  <c r="C60" i="3"/>
  <c r="T52" i="3"/>
  <c r="CQ52" i="3"/>
  <c r="CO60" i="3" l="1"/>
  <c r="C61" i="3"/>
  <c r="CW55" i="3"/>
  <c r="AW55" i="3"/>
  <c r="CY67" i="3"/>
  <c r="BJ67" i="3"/>
  <c r="CQ53" i="3"/>
  <c r="T53" i="3"/>
  <c r="T54" i="3" l="1"/>
  <c r="CQ54" i="3"/>
  <c r="CY68" i="3"/>
  <c r="BJ68" i="3"/>
  <c r="CW56" i="3"/>
  <c r="AW56" i="3"/>
  <c r="C62" i="3"/>
  <c r="CO61" i="3"/>
  <c r="CW57" i="3" l="1"/>
  <c r="AW57" i="3"/>
  <c r="CY69" i="3"/>
  <c r="BJ69" i="3"/>
  <c r="CY70" i="3" s="1"/>
  <c r="CO62" i="3"/>
  <c r="C63" i="3"/>
  <c r="CQ55" i="3"/>
  <c r="T55" i="3"/>
  <c r="CQ56" i="3" l="1"/>
  <c r="T56" i="3"/>
  <c r="CO63" i="3"/>
  <c r="C64" i="3"/>
  <c r="J32" i="2"/>
  <c r="K32" i="2"/>
  <c r="J53" i="2"/>
  <c r="M53" i="2" s="1"/>
  <c r="K53" i="2"/>
  <c r="N53" i="2" s="1"/>
  <c r="J52" i="2"/>
  <c r="O52" i="2" s="1"/>
  <c r="K52" i="2"/>
  <c r="P52" i="2" s="1"/>
  <c r="J54" i="2"/>
  <c r="M54" i="2" s="1"/>
  <c r="J55" i="2"/>
  <c r="O55" i="2" s="1"/>
  <c r="K55" i="2"/>
  <c r="P55" i="2" s="1"/>
  <c r="K54" i="2"/>
  <c r="N54" i="2" s="1"/>
  <c r="AW58" i="3"/>
  <c r="CW58" i="3"/>
  <c r="C14" i="2" s="1"/>
  <c r="P67" i="2" l="1"/>
  <c r="I28" i="5" s="1"/>
  <c r="N67" i="2"/>
  <c r="F26" i="5" s="1"/>
  <c r="P32" i="2"/>
  <c r="P47" i="2" s="1"/>
  <c r="I19" i="5" s="1"/>
  <c r="N32" i="2"/>
  <c r="N47" i="2" s="1"/>
  <c r="F28" i="5" s="1"/>
  <c r="C65" i="3"/>
  <c r="CO64" i="3"/>
  <c r="CQ57" i="3"/>
  <c r="T57" i="3"/>
  <c r="CW59" i="3"/>
  <c r="AW59" i="3"/>
  <c r="O67" i="2"/>
  <c r="I28" i="4" s="1"/>
  <c r="M67" i="2"/>
  <c r="F26" i="4" s="1"/>
  <c r="M32" i="2"/>
  <c r="M47" i="2" s="1"/>
  <c r="F30" i="4" s="1"/>
  <c r="O32" i="2"/>
  <c r="O47" i="2" s="1"/>
  <c r="I19" i="4" s="1"/>
  <c r="CO65" i="3" l="1"/>
  <c r="C66" i="3"/>
  <c r="CW60" i="3"/>
  <c r="AW61" i="3"/>
  <c r="T58" i="3"/>
  <c r="CQ58" i="3"/>
  <c r="CW62" i="3" l="1"/>
  <c r="AW62" i="3"/>
  <c r="C67" i="3"/>
  <c r="CO66" i="3"/>
  <c r="CQ59" i="3"/>
  <c r="T59" i="3"/>
  <c r="CQ60" i="3" l="1"/>
  <c r="T60" i="3"/>
  <c r="CW63" i="3"/>
  <c r="AW63" i="3"/>
  <c r="CO67" i="3"/>
  <c r="C68" i="3"/>
  <c r="C69" i="3" l="1"/>
  <c r="CO68" i="3"/>
  <c r="CW64" i="3"/>
  <c r="AW64" i="3"/>
  <c r="T61" i="3"/>
  <c r="CQ61" i="3"/>
  <c r="CW65" i="3" l="1"/>
  <c r="AW65" i="3"/>
  <c r="CQ62" i="3"/>
  <c r="T62" i="3"/>
  <c r="CO69" i="3"/>
  <c r="C70" i="3"/>
  <c r="CO70" i="3" l="1"/>
  <c r="C71" i="3"/>
  <c r="CQ63" i="3"/>
  <c r="T63" i="3"/>
  <c r="AW66" i="3"/>
  <c r="CW66" i="3"/>
  <c r="T64" i="3" l="1"/>
  <c r="CQ64" i="3"/>
  <c r="CO71" i="3"/>
  <c r="C72" i="3"/>
  <c r="CW67" i="3"/>
  <c r="AW67" i="3"/>
  <c r="CW68" i="3" l="1"/>
  <c r="AW68" i="3"/>
  <c r="CO72" i="3"/>
  <c r="C73" i="3"/>
  <c r="CQ65" i="3"/>
  <c r="T65" i="3"/>
  <c r="T66" i="3" l="1"/>
  <c r="CQ66" i="3"/>
  <c r="CO73" i="3"/>
  <c r="C74" i="3"/>
  <c r="CW69" i="3"/>
  <c r="AW69" i="3"/>
  <c r="CW70" i="3" l="1"/>
  <c r="AW70" i="3"/>
  <c r="CO74" i="3"/>
  <c r="C75" i="3"/>
  <c r="CQ67" i="3"/>
  <c r="T67" i="3"/>
  <c r="T68" i="3" l="1"/>
  <c r="CQ68" i="3"/>
  <c r="CO75" i="3"/>
  <c r="C76" i="3"/>
  <c r="CW71" i="3"/>
  <c r="AW71" i="3"/>
  <c r="CW72" i="3" l="1"/>
  <c r="AW72" i="3"/>
  <c r="C77" i="3"/>
  <c r="CO76" i="3"/>
  <c r="CQ69" i="3"/>
  <c r="T69" i="3"/>
  <c r="CQ70" i="3" l="1"/>
  <c r="T70" i="3"/>
  <c r="CW73" i="3"/>
  <c r="AW73" i="3"/>
  <c r="CO77" i="3"/>
  <c r="C78" i="3"/>
  <c r="CO78" i="3" l="1"/>
  <c r="C79" i="3"/>
  <c r="CW74" i="3"/>
  <c r="AW74" i="3"/>
  <c r="CQ71" i="3"/>
  <c r="T71" i="3"/>
  <c r="CQ72" i="3" l="1"/>
  <c r="T72" i="3"/>
  <c r="CW75" i="3"/>
  <c r="AW75" i="3"/>
  <c r="CO79" i="3"/>
  <c r="C80" i="3"/>
  <c r="CO80" i="3" l="1"/>
  <c r="C81" i="3"/>
  <c r="CW76" i="3"/>
  <c r="AW76" i="3"/>
  <c r="CQ73" i="3"/>
  <c r="T73" i="3"/>
  <c r="CQ74" i="3" l="1"/>
  <c r="T74" i="3"/>
  <c r="CS128" i="3"/>
  <c r="CW77" i="3"/>
  <c r="AW77" i="3"/>
  <c r="CO81" i="3"/>
  <c r="C82" i="3"/>
  <c r="CS129" i="3" l="1"/>
  <c r="CQ75" i="3"/>
  <c r="T75" i="3"/>
  <c r="CO82" i="3"/>
  <c r="C83" i="3"/>
  <c r="CW78" i="3"/>
  <c r="AW78" i="3"/>
  <c r="CW79" i="3" l="1"/>
  <c r="AW79" i="3"/>
  <c r="CO83" i="3"/>
  <c r="C84" i="3"/>
  <c r="CS130" i="3"/>
  <c r="T76" i="3"/>
  <c r="CQ76" i="3"/>
  <c r="CS131" i="3" l="1"/>
  <c r="CQ77" i="3"/>
  <c r="T77" i="3"/>
  <c r="CO84" i="3"/>
  <c r="C85" i="3"/>
  <c r="CW80" i="3"/>
  <c r="AW80" i="3"/>
  <c r="CW81" i="3" l="1"/>
  <c r="AW81" i="3"/>
  <c r="CO85" i="3"/>
  <c r="C86" i="3"/>
  <c r="CS133" i="3"/>
  <c r="CQ78" i="3"/>
  <c r="T78" i="3"/>
  <c r="C87" i="3" l="1"/>
  <c r="CO86" i="3"/>
  <c r="CW82" i="3"/>
  <c r="AW82" i="3"/>
  <c r="CS134" i="3"/>
  <c r="CQ79" i="3"/>
  <c r="T79" i="3"/>
  <c r="CW83" i="3" l="1"/>
  <c r="AW83" i="3"/>
  <c r="CQ80" i="3"/>
  <c r="T80" i="3"/>
  <c r="CS135" i="3"/>
  <c r="CO87" i="3"/>
  <c r="C88" i="3"/>
  <c r="CS136" i="3" l="1"/>
  <c r="CQ81" i="3"/>
  <c r="T81" i="3"/>
  <c r="CW84" i="3"/>
  <c r="AW84" i="3"/>
  <c r="C89" i="3"/>
  <c r="CO88" i="3"/>
  <c r="C91" i="3" l="1"/>
  <c r="CO89" i="3"/>
  <c r="CW85" i="3"/>
  <c r="AW85" i="3"/>
  <c r="CS137" i="3"/>
  <c r="CQ82" i="3"/>
  <c r="T82" i="3"/>
  <c r="AW86" i="3" l="1"/>
  <c r="CW86" i="3"/>
  <c r="CS138" i="3"/>
  <c r="CQ83" i="3"/>
  <c r="T83" i="3"/>
  <c r="CO91" i="3"/>
  <c r="C92" i="3"/>
  <c r="CO92" i="3" l="1"/>
  <c r="C93" i="3"/>
  <c r="CQ84" i="3"/>
  <c r="T84" i="3"/>
  <c r="CS139" i="3"/>
  <c r="CW87" i="3"/>
  <c r="AW87" i="3"/>
  <c r="CS140" i="3" l="1"/>
  <c r="CQ85" i="3"/>
  <c r="T85" i="3"/>
  <c r="CS141" i="3" s="1"/>
  <c r="CO93" i="3"/>
  <c r="C94" i="3"/>
  <c r="AW88" i="3"/>
  <c r="CW88" i="3"/>
  <c r="CW89" i="3" l="1"/>
  <c r="AW89" i="3"/>
  <c r="CO94" i="3"/>
  <c r="C95" i="3"/>
  <c r="C96" i="3" l="1"/>
  <c r="CO95" i="3"/>
  <c r="CW90" i="3"/>
  <c r="AW90" i="3"/>
  <c r="CW91" i="3" l="1"/>
  <c r="AW91" i="3"/>
  <c r="CO96" i="3"/>
  <c r="C97" i="3"/>
  <c r="C98" i="3" l="1"/>
  <c r="CO97" i="3"/>
  <c r="CW92" i="3"/>
  <c r="AW92" i="3"/>
  <c r="CW93" i="3" l="1"/>
  <c r="AW93" i="3"/>
  <c r="CO98" i="3"/>
  <c r="C99" i="3"/>
  <c r="C100" i="3" l="1"/>
  <c r="CO100" i="3" s="1"/>
  <c r="CO99" i="3"/>
  <c r="CW94" i="3"/>
  <c r="AW94" i="3"/>
  <c r="AW95" i="3" l="1"/>
  <c r="CW95" i="3"/>
  <c r="CW96" i="3" l="1"/>
  <c r="AW96" i="3"/>
  <c r="AW97" i="3" l="1"/>
  <c r="CW97" i="3"/>
  <c r="CW98" i="3" l="1"/>
  <c r="AW98" i="3"/>
  <c r="AW99" i="3" l="1"/>
  <c r="CW99" i="3"/>
  <c r="CW100" i="3" l="1"/>
  <c r="AW100" i="3"/>
  <c r="CW101" i="3" l="1"/>
  <c r="AW101" i="3"/>
  <c r="CW102" i="3" l="1"/>
  <c r="AW102" i="3"/>
  <c r="AW103" i="3" l="1"/>
  <c r="CW103" i="3"/>
  <c r="CW104" i="3" l="1"/>
  <c r="AW104" i="3"/>
  <c r="CW105" i="3" l="1"/>
  <c r="AW105" i="3"/>
  <c r="CW106" i="3" l="1"/>
  <c r="AW106" i="3"/>
  <c r="CW107" i="3" l="1"/>
  <c r="AW107" i="3"/>
  <c r="AW108" i="3" l="1"/>
  <c r="CW108" i="3"/>
  <c r="CW109" i="3" l="1"/>
  <c r="AW109" i="3"/>
  <c r="CW110" i="3" l="1"/>
  <c r="AW110" i="3"/>
  <c r="CW111" i="3" l="1"/>
  <c r="AW111" i="3"/>
  <c r="CW112" i="3" l="1"/>
  <c r="AW112" i="3"/>
  <c r="CW113" i="3" l="1"/>
  <c r="AW113" i="3"/>
  <c r="CW114" i="3" l="1"/>
  <c r="AW114" i="3"/>
  <c r="CW115" i="3" l="1"/>
  <c r="AW115" i="3"/>
  <c r="CW116" i="3" l="1"/>
  <c r="AW116" i="3"/>
  <c r="J92" i="2"/>
  <c r="K92" i="2"/>
  <c r="L10" i="2"/>
  <c r="K10" i="2"/>
  <c r="J10" i="2"/>
  <c r="K93" i="2"/>
  <c r="J93" i="2"/>
  <c r="J11" i="2"/>
  <c r="L11" i="2"/>
  <c r="K11" i="2"/>
  <c r="L14" i="2"/>
  <c r="K14" i="2"/>
  <c r="J14" i="2"/>
  <c r="O14" i="2" l="1"/>
  <c r="M14" i="2"/>
  <c r="M93" i="2"/>
  <c r="O93" i="2"/>
  <c r="O10" i="2"/>
  <c r="M10" i="2"/>
  <c r="M92" i="2"/>
  <c r="M102" i="2" s="1"/>
  <c r="F25" i="4" s="1"/>
  <c r="O92" i="2"/>
  <c r="O102" i="2" s="1"/>
  <c r="I27" i="4" s="1"/>
  <c r="P14" i="2"/>
  <c r="N14" i="2"/>
  <c r="N11" i="2"/>
  <c r="P11" i="2"/>
  <c r="M11" i="2"/>
  <c r="O11" i="2"/>
  <c r="N93" i="2"/>
  <c r="P93" i="2"/>
  <c r="P10" i="2"/>
  <c r="N10" i="2"/>
  <c r="P92" i="2"/>
  <c r="P102" i="2" s="1"/>
  <c r="I27" i="5" s="1"/>
  <c r="N92" i="2"/>
  <c r="AW117" i="3"/>
  <c r="CW117" i="3"/>
  <c r="AW118" i="3" l="1"/>
  <c r="CW118" i="3"/>
  <c r="N102" i="2"/>
  <c r="F25" i="5" s="1"/>
  <c r="AW119" i="3" l="1"/>
  <c r="CW119" i="3"/>
  <c r="AW120" i="3" l="1"/>
  <c r="CW120" i="3"/>
  <c r="AW121" i="3" l="1"/>
  <c r="CW121" i="3"/>
  <c r="AW122" i="3" l="1"/>
  <c r="CW122" i="3"/>
  <c r="CW123" i="3" l="1"/>
  <c r="AW123" i="3"/>
  <c r="CW124" i="3" l="1"/>
  <c r="AW124" i="3"/>
  <c r="CW125" i="3" l="1"/>
  <c r="AW125" i="3"/>
  <c r="CW126" i="3" l="1"/>
  <c r="AW126" i="3"/>
  <c r="CW127" i="3" l="1"/>
  <c r="AW127" i="3"/>
  <c r="CW128" i="3" l="1"/>
  <c r="AW128" i="3"/>
  <c r="CW129" i="3" l="1"/>
  <c r="C12" i="2" s="1"/>
  <c r="AW129" i="3"/>
  <c r="AW130" i="3" s="1"/>
  <c r="AW131" i="3" s="1"/>
  <c r="AW133" i="3" s="1"/>
  <c r="CW134" i="3" l="1"/>
  <c r="AW134" i="3"/>
  <c r="CW135" i="3" l="1"/>
  <c r="AW135" i="3"/>
  <c r="CW136" i="3" l="1"/>
  <c r="AW136" i="3"/>
  <c r="CW137" i="3" l="1"/>
  <c r="AW137" i="3"/>
  <c r="CW138" i="3" l="1"/>
  <c r="AW138" i="3"/>
  <c r="CW139" i="3" l="1"/>
  <c r="AW139" i="3"/>
  <c r="CW140" i="3" l="1"/>
  <c r="AW140" i="3"/>
  <c r="CW141" i="3" l="1"/>
  <c r="AW141" i="3"/>
  <c r="CW142" i="3" l="1"/>
  <c r="AW142" i="3"/>
  <c r="CW143" i="3" l="1"/>
  <c r="AW143" i="3"/>
  <c r="CW144" i="3" l="1"/>
  <c r="AW144" i="3"/>
  <c r="CW145" i="3" l="1"/>
  <c r="AW145" i="3"/>
  <c r="CW146" i="3" l="1"/>
  <c r="AW146" i="3"/>
  <c r="CW147" i="3" l="1"/>
  <c r="AW147" i="3"/>
  <c r="CW148" i="3" l="1"/>
  <c r="AW148" i="3"/>
  <c r="CW149" i="3" l="1"/>
  <c r="AW149" i="3"/>
  <c r="CW150" i="3" l="1"/>
  <c r="AW150" i="3"/>
  <c r="CW151" i="3" l="1"/>
  <c r="AW151" i="3"/>
  <c r="CW152" i="3" l="1"/>
  <c r="AW152" i="3"/>
  <c r="CW153" i="3" l="1"/>
  <c r="AW153" i="3"/>
  <c r="CW154" i="3" l="1"/>
  <c r="AW154" i="3"/>
  <c r="CW155" i="3" l="1"/>
  <c r="AW155" i="3"/>
  <c r="CW156" i="3" l="1"/>
  <c r="AW156" i="3"/>
  <c r="CW157" i="3" l="1"/>
  <c r="AW157" i="3"/>
  <c r="CW158" i="3" l="1"/>
  <c r="AW158" i="3"/>
  <c r="CW159" i="3" l="1"/>
  <c r="AW159" i="3"/>
  <c r="CW160" i="3" l="1"/>
  <c r="AW160" i="3"/>
  <c r="CW161" i="3" l="1"/>
  <c r="AW161" i="3"/>
  <c r="CW162" i="3" l="1"/>
  <c r="AW162" i="3"/>
  <c r="CW163" i="3" l="1"/>
  <c r="AW163" i="3"/>
  <c r="CW164" i="3" l="1"/>
  <c r="AW164" i="3"/>
  <c r="CW165" i="3" l="1"/>
  <c r="AW165" i="3"/>
  <c r="CW166" i="3" l="1"/>
  <c r="AW166" i="3"/>
  <c r="CW167" i="3" l="1"/>
  <c r="AW167" i="3"/>
  <c r="CW168" i="3" l="1"/>
  <c r="AW168" i="3"/>
  <c r="CW169" i="3" l="1"/>
  <c r="AW169" i="3"/>
  <c r="J12" i="2"/>
  <c r="L12" i="2"/>
  <c r="K12" i="2"/>
  <c r="CW170" i="3" l="1"/>
  <c r="AW170" i="3"/>
  <c r="N12" i="2"/>
  <c r="P12" i="2"/>
  <c r="M12" i="2"/>
  <c r="O12" i="2"/>
  <c r="CW171" i="3" l="1"/>
  <c r="AW171" i="3"/>
  <c r="CW172" i="3" l="1"/>
  <c r="AW172" i="3"/>
  <c r="CW173" i="3" l="1"/>
  <c r="AW173" i="3"/>
  <c r="CW174" i="3" l="1"/>
  <c r="AW174" i="3"/>
  <c r="CW175" i="3" l="1"/>
  <c r="AW175" i="3"/>
  <c r="CW176" i="3" l="1"/>
  <c r="AW176" i="3"/>
  <c r="CW177" i="3" l="1"/>
  <c r="AW177" i="3"/>
  <c r="CW178" i="3" l="1"/>
  <c r="AW178" i="3"/>
  <c r="CW179" i="3" l="1"/>
  <c r="AW179" i="3"/>
  <c r="CW180" i="3" l="1"/>
  <c r="AW180" i="3"/>
  <c r="CW181" i="3" l="1"/>
  <c r="AW181" i="3"/>
  <c r="CW182" i="3" l="1"/>
  <c r="AW182" i="3"/>
  <c r="CW183" i="3" l="1"/>
  <c r="AW183" i="3"/>
  <c r="CW184" i="3" l="1"/>
  <c r="AW184" i="3"/>
  <c r="CW185" i="3" l="1"/>
  <c r="AW185" i="3"/>
  <c r="CW186" i="3" l="1"/>
  <c r="AW186" i="3"/>
  <c r="CW187" i="3" l="1"/>
  <c r="AW187" i="3"/>
  <c r="CW188" i="3" l="1"/>
  <c r="AW188" i="3"/>
  <c r="CW189" i="3" l="1"/>
  <c r="AW189" i="3"/>
  <c r="CW190" i="3" l="1"/>
  <c r="AW190" i="3"/>
  <c r="CW191" i="3" l="1"/>
  <c r="AW191" i="3"/>
  <c r="CW192" i="3" l="1"/>
  <c r="AW192" i="3"/>
  <c r="CW193" i="3" l="1"/>
  <c r="C13" i="2" s="1"/>
  <c r="AW193" i="3"/>
  <c r="CW194" i="3" l="1"/>
  <c r="AW194" i="3"/>
  <c r="CW195" i="3" l="1"/>
  <c r="AW195" i="3"/>
  <c r="CW196" i="3" l="1"/>
  <c r="AW196" i="3"/>
  <c r="L13" i="2"/>
  <c r="K13" i="2"/>
  <c r="J13" i="2"/>
  <c r="P13" i="2" l="1"/>
  <c r="P25" i="2" s="1"/>
  <c r="N13" i="2"/>
  <c r="N25" i="2" s="1"/>
  <c r="CW197" i="3"/>
  <c r="AW197" i="3"/>
  <c r="O13" i="2"/>
  <c r="O25" i="2" s="1"/>
  <c r="M13" i="2"/>
  <c r="M25" i="2" s="1"/>
  <c r="F29" i="4" l="1"/>
  <c r="F31" i="4" s="1"/>
  <c r="M266" i="2"/>
  <c r="CW198" i="3"/>
  <c r="AW198" i="3"/>
  <c r="F27" i="5"/>
  <c r="F31" i="5" s="1"/>
  <c r="N266" i="2"/>
  <c r="P269" i="2" s="1"/>
  <c r="I18" i="4"/>
  <c r="I31" i="4" s="1"/>
  <c r="O266" i="2"/>
  <c r="I18" i="5"/>
  <c r="I31" i="5" s="1"/>
  <c r="P266" i="2"/>
  <c r="CW199" i="3" l="1"/>
  <c r="AW199" i="3"/>
  <c r="O269" i="2"/>
  <c r="P21" i="6"/>
  <c r="P22" i="6" s="1"/>
  <c r="I32" i="5"/>
  <c r="H21" i="6"/>
  <c r="H22" i="6" s="1"/>
  <c r="I32" i="4"/>
  <c r="F33" i="5"/>
  <c r="F34" i="5" s="1"/>
  <c r="F32" i="5"/>
  <c r="O21" i="6"/>
  <c r="G21" i="6"/>
  <c r="F33" i="4"/>
  <c r="F34" i="4" s="1"/>
  <c r="F32" i="4"/>
  <c r="O22" i="6" l="1"/>
  <c r="Q21" i="6"/>
  <c r="Q22" i="6" s="1"/>
  <c r="CW200" i="3"/>
  <c r="AW200" i="3"/>
  <c r="G22" i="6"/>
  <c r="I21" i="6"/>
  <c r="L21" i="6" l="1"/>
  <c r="K21" i="6" s="1"/>
  <c r="M21" i="6" s="1"/>
  <c r="J21" i="6"/>
  <c r="I22" i="6"/>
  <c r="CW201" i="3"/>
  <c r="AW201" i="3"/>
  <c r="CW202" i="3" l="1"/>
  <c r="AW202" i="3"/>
  <c r="J22" i="6"/>
  <c r="L22" i="6"/>
  <c r="K22" i="6" s="1"/>
  <c r="N21" i="6"/>
  <c r="M22" i="6"/>
  <c r="N22" i="6" l="1"/>
  <c r="CW203" i="3"/>
  <c r="AW203" i="3"/>
  <c r="C26" i="6"/>
  <c r="CW204" i="3" l="1"/>
  <c r="AW204" i="3"/>
  <c r="CW205" i="3" l="1"/>
  <c r="AW205" i="3"/>
  <c r="CW206" i="3" l="1"/>
  <c r="AW206" i="3"/>
  <c r="CW207" i="3" l="1"/>
  <c r="AW207" i="3"/>
  <c r="CW208" i="3" l="1"/>
  <c r="AW208" i="3"/>
  <c r="CW209" i="3" l="1"/>
  <c r="AW209" i="3"/>
  <c r="CW210" i="3" l="1"/>
  <c r="AW210" i="3"/>
  <c r="CW211" i="3" l="1"/>
  <c r="AW211" i="3"/>
  <c r="CW212" i="3" l="1"/>
  <c r="AW212" i="3"/>
  <c r="CW213" i="3" l="1"/>
  <c r="AW213" i="3"/>
  <c r="CW214" i="3" l="1"/>
  <c r="AW214" i="3"/>
  <c r="CW215" i="3" l="1"/>
  <c r="AW215" i="3"/>
  <c r="CW2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4" authorId="0" shapeId="0" xr:uid="{00000000-0006-0000-0000-000001000000}">
      <text>
        <r>
          <rPr>
            <b/>
            <sz val="9"/>
            <color rgb="FF000000"/>
            <rFont val="Tahoma"/>
            <family val="2"/>
          </rPr>
          <t xml:space="preserve">Münzebrock:
</t>
        </r>
        <r>
          <rPr>
            <sz val="9"/>
            <color rgb="FF000000"/>
            <rFont val="Tahoma"/>
            <family val="2"/>
          </rPr>
          <t xml:space="preserve">bitte nur eintragen wenn Bilanz für Kalenderjahr erstellt wird
</t>
        </r>
      </text>
    </comment>
    <comment ref="E16" authorId="0" shapeId="0" xr:uid="{00000000-0006-0000-0000-000002000000}">
      <text>
        <r>
          <rPr>
            <b/>
            <sz val="9"/>
            <color rgb="FF000000"/>
            <rFont val="Tahoma"/>
            <family val="2"/>
          </rPr>
          <t xml:space="preserve">Münzebrock:
</t>
        </r>
        <r>
          <rPr>
            <sz val="9"/>
            <color rgb="FF000000"/>
            <rFont val="Tahoma"/>
            <family val="2"/>
          </rPr>
          <t xml:space="preserve">von Jahr
</t>
        </r>
      </text>
    </comment>
    <comment ref="F16" authorId="0" shapeId="0" xr:uid="{00000000-0006-0000-0000-000003000000}">
      <text>
        <r>
          <rPr>
            <b/>
            <sz val="9"/>
            <color rgb="FF000000"/>
            <rFont val="Tahoma"/>
            <family val="2"/>
          </rPr>
          <t xml:space="preserve">Münzebrock:
</t>
        </r>
        <r>
          <rPr>
            <sz val="9"/>
            <color rgb="FF000000"/>
            <rFont val="Tahoma"/>
            <family val="2"/>
          </rPr>
          <t>bis Jahr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8" authorId="0" shapeId="0" xr:uid="{00000000-0006-0000-0100-000007000000}">
      <text>
        <r>
          <rPr>
            <b/>
            <sz val="9"/>
            <color rgb="FF000000"/>
            <rFont val="Tahoma"/>
            <family val="2"/>
          </rPr>
          <t xml:space="preserve">Münzebrock:
</t>
        </r>
        <r>
          <rPr>
            <sz val="9"/>
            <color rgb="FF000000"/>
            <rFont val="Tahoma"/>
            <family val="2"/>
          </rPr>
          <t>Sie können die Werte im Blatt Daten ändern</t>
        </r>
      </text>
    </comment>
    <comment ref="C9" authorId="0" shapeId="0" xr:uid="{00000000-0006-0000-0100-000001000000}">
      <text>
        <r>
          <rPr>
            <sz val="10"/>
            <rFont val="Arial"/>
            <family val="2"/>
          </rPr>
          <t>Nr. aus dem 
Blatt -Daten-</t>
        </r>
      </text>
    </comment>
    <comment ref="C30" authorId="0" shapeId="0" xr:uid="{00000000-0006-0000-0100-000002000000}">
      <text>
        <r>
          <rPr>
            <sz val="10"/>
            <rFont val="Arial"/>
            <family val="2"/>
          </rPr>
          <t>Nr aus dem Blatt -Daten</t>
        </r>
      </text>
    </comment>
    <comment ref="J30" authorId="0" shapeId="0" xr:uid="{00000000-0006-0000-0100-000008000000}">
      <text>
        <r>
          <rPr>
            <b/>
            <sz val="9"/>
            <color rgb="FF000000"/>
            <rFont val="Tahoma"/>
            <family val="2"/>
          </rPr>
          <t xml:space="preserve">Münzebrock:
</t>
        </r>
        <r>
          <rPr>
            <sz val="9"/>
            <color rgb="FF000000"/>
            <rFont val="Tahoma"/>
            <family val="2"/>
          </rPr>
          <t>Sie können die Werte im Blatt Daten ändern</t>
        </r>
      </text>
    </comment>
    <comment ref="J50" authorId="0" shapeId="0" xr:uid="{00000000-0006-0000-0100-000009000000}">
      <text>
        <r>
          <rPr>
            <b/>
            <sz val="9"/>
            <color rgb="FF000000"/>
            <rFont val="Tahoma"/>
            <family val="2"/>
          </rPr>
          <t xml:space="preserve">Münzebrock:
</t>
        </r>
        <r>
          <rPr>
            <sz val="9"/>
            <color rgb="FF000000"/>
            <rFont val="Tahoma"/>
            <family val="2"/>
          </rPr>
          <t>Sie können die Werte im Blatt Daten ändern</t>
        </r>
      </text>
    </comment>
    <comment ref="E51" authorId="0" shapeId="0" xr:uid="{00000000-0006-0000-0100-000004000000}">
      <text>
        <r>
          <rPr>
            <b/>
            <sz val="9"/>
            <color rgb="FF000000"/>
            <rFont val="Tahoma"/>
            <family val="2"/>
          </rPr>
          <t xml:space="preserve">Münzebrock:
</t>
        </r>
        <r>
          <rPr>
            <sz val="9"/>
            <color rgb="FF000000"/>
            <rFont val="Tahoma"/>
            <family val="2"/>
          </rPr>
          <t>Bei Abgabe muss die Anzahl negativ sein (-x)</t>
        </r>
      </text>
    </comment>
    <comment ref="F51" authorId="0" shapeId="0" xr:uid="{00000000-0006-0000-0100-000005000000}">
      <text>
        <r>
          <rPr>
            <b/>
            <sz val="9"/>
            <color rgb="FF000000"/>
            <rFont val="Tahoma"/>
            <family val="2"/>
          </rPr>
          <t xml:space="preserve">Münzebrock:
</t>
        </r>
        <r>
          <rPr>
            <sz val="9"/>
            <color rgb="FF000000"/>
            <rFont val="Tahoma"/>
            <family val="2"/>
          </rPr>
          <t>Umrechnungsschlüssel von Schlachtgewicht auf Lebendgewicht finden Sie im Bereich Daten</t>
        </r>
      </text>
    </comment>
    <comment ref="J70" authorId="0" shapeId="0" xr:uid="{00000000-0006-0000-0100-00000A000000}">
      <text>
        <r>
          <rPr>
            <b/>
            <sz val="9"/>
            <color rgb="FF000000"/>
            <rFont val="Tahoma"/>
            <family val="2"/>
          </rPr>
          <t xml:space="preserve">Münzebrock:
</t>
        </r>
        <r>
          <rPr>
            <sz val="9"/>
            <color rgb="FF000000"/>
            <rFont val="Tahoma"/>
            <family val="2"/>
          </rPr>
          <t>Sie können die Werte im Blatt Daten ändern</t>
        </r>
      </text>
    </comment>
    <comment ref="C89" authorId="0" shapeId="0" xr:uid="{00000000-0006-0000-0100-000003000000}">
      <text>
        <r>
          <rPr>
            <sz val="10"/>
            <rFont val="Arial"/>
            <family val="2"/>
          </rPr>
          <t>Nr aus dem Blatt -Daten</t>
        </r>
      </text>
    </comment>
    <comment ref="J90" authorId="0" shapeId="0" xr:uid="{00000000-0006-0000-0100-00000B000000}">
      <text>
        <r>
          <rPr>
            <b/>
            <sz val="9"/>
            <color rgb="FF000000"/>
            <rFont val="Tahoma"/>
            <family val="2"/>
          </rPr>
          <t xml:space="preserve">Münzebrock:
</t>
        </r>
        <r>
          <rPr>
            <sz val="9"/>
            <color rgb="FF000000"/>
            <rFont val="Tahoma"/>
            <family val="2"/>
          </rPr>
          <t>Sie können die Werte im Blatt Daten ändern</t>
        </r>
      </text>
    </comment>
    <comment ref="J105" authorId="0" shapeId="0" xr:uid="{00000000-0006-0000-0100-00000C000000}">
      <text>
        <r>
          <rPr>
            <b/>
            <sz val="9"/>
            <color rgb="FF000000"/>
            <rFont val="Tahoma"/>
            <family val="2"/>
          </rPr>
          <t xml:space="preserve">Münzebrock:
</t>
        </r>
        <r>
          <rPr>
            <sz val="9"/>
            <color rgb="FF000000"/>
            <rFont val="Tahoma"/>
            <family val="2"/>
          </rPr>
          <t>Sie können die Werte im Blatt Daten ändern</t>
        </r>
      </text>
    </comment>
    <comment ref="J139" authorId="0" shapeId="0" xr:uid="{00000000-0006-0000-0100-00000D000000}">
      <text>
        <r>
          <rPr>
            <b/>
            <sz val="9"/>
            <color rgb="FF000000"/>
            <rFont val="Tahoma"/>
            <family val="2"/>
          </rPr>
          <t xml:space="preserve">Münzebrock:
</t>
        </r>
        <r>
          <rPr>
            <sz val="9"/>
            <color rgb="FF000000"/>
            <rFont val="Tahoma"/>
            <family val="2"/>
          </rPr>
          <t>Sie können die Werte im Blatt Daten ändern</t>
        </r>
      </text>
    </comment>
    <comment ref="J154" authorId="0" shapeId="0" xr:uid="{00000000-0006-0000-0100-00000E000000}">
      <text>
        <r>
          <rPr>
            <b/>
            <sz val="9"/>
            <color rgb="FF000000"/>
            <rFont val="Tahoma"/>
            <family val="2"/>
          </rPr>
          <t xml:space="preserve">Münzebrock:
</t>
        </r>
        <r>
          <rPr>
            <sz val="9"/>
            <color rgb="FF000000"/>
            <rFont val="Tahoma"/>
            <family val="2"/>
          </rPr>
          <t>Sie können die Werte im Blatt Daten ändern</t>
        </r>
      </text>
    </comment>
    <comment ref="J169" authorId="0" shapeId="0" xr:uid="{00000000-0006-0000-0100-00000F000000}">
      <text>
        <r>
          <rPr>
            <b/>
            <sz val="9"/>
            <color rgb="FF000000"/>
            <rFont val="Tahoma"/>
            <family val="2"/>
          </rPr>
          <t xml:space="preserve">Münzebrock:
</t>
        </r>
        <r>
          <rPr>
            <sz val="9"/>
            <color rgb="FF000000"/>
            <rFont val="Tahoma"/>
            <family val="2"/>
          </rPr>
          <t>Sie können die Werte im Blatt Daten ändern</t>
        </r>
      </text>
    </comment>
    <comment ref="J189" authorId="0" shapeId="0" xr:uid="{00000000-0006-0000-0100-000010000000}">
      <text>
        <r>
          <rPr>
            <b/>
            <sz val="9"/>
            <color rgb="FF000000"/>
            <rFont val="Tahoma"/>
            <family val="2"/>
          </rPr>
          <t xml:space="preserve">Münzebrock:
</t>
        </r>
        <r>
          <rPr>
            <sz val="9"/>
            <color rgb="FF000000"/>
            <rFont val="Tahoma"/>
            <family val="2"/>
          </rPr>
          <t>Sie können die Werte im Blatt Daten ändern</t>
        </r>
      </text>
    </comment>
    <comment ref="J214" authorId="0" shapeId="0" xr:uid="{00000000-0006-0000-0100-000011000000}">
      <text>
        <r>
          <rPr>
            <b/>
            <sz val="9"/>
            <color rgb="FF000000"/>
            <rFont val="Tahoma"/>
            <family val="2"/>
          </rPr>
          <t xml:space="preserve">Münzebrock:
</t>
        </r>
        <r>
          <rPr>
            <sz val="9"/>
            <color rgb="FF000000"/>
            <rFont val="Tahoma"/>
            <family val="2"/>
          </rPr>
          <t>Sie können die Werte im Blatt Daten ändern</t>
        </r>
      </text>
    </comment>
    <comment ref="J224" authorId="0" shapeId="0" xr:uid="{00000000-0006-0000-0100-000012000000}">
      <text>
        <r>
          <rPr>
            <b/>
            <sz val="9"/>
            <color rgb="FF000000"/>
            <rFont val="Tahoma"/>
            <family val="2"/>
          </rPr>
          <t xml:space="preserve">Münzebrock:
</t>
        </r>
        <r>
          <rPr>
            <sz val="9"/>
            <color rgb="FF000000"/>
            <rFont val="Tahoma"/>
            <family val="2"/>
          </rPr>
          <t>Sie können die Werte im Blatt Daten ändern</t>
        </r>
      </text>
    </comment>
    <comment ref="H242" authorId="0" shapeId="0" xr:uid="{00000000-0006-0000-0100-000006000000}">
      <text>
        <r>
          <rPr>
            <sz val="10"/>
            <rFont val="Arial"/>
            <family val="2"/>
          </rPr>
          <t>bei Bedarf kann der Ertrag in dem Blatt „Daten“ geändert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Münzebrock</author>
  </authors>
  <commentList>
    <comment ref="AM9" authorId="0" shapeId="0" xr:uid="{00000000-0006-0000-0200-00001E000000}">
      <text>
        <r>
          <rPr>
            <sz val="10"/>
            <rFont val="Arial"/>
            <family val="2"/>
          </rPr>
          <t>= Nährstoffanfall/ Dungmenge</t>
        </r>
      </text>
    </comment>
    <comment ref="BP9" authorId="1" shapeId="0" xr:uid="{8B0AD926-DF0C-439C-AE7C-696871D0A0DC}">
      <text>
        <r>
          <rPr>
            <b/>
            <sz val="9"/>
            <color indexed="81"/>
            <rFont val="Segoe UI"/>
            <family val="2"/>
          </rPr>
          <t>Münzebrock:</t>
        </r>
        <r>
          <rPr>
            <sz val="9"/>
            <color indexed="81"/>
            <rFont val="Segoe UI"/>
            <family val="2"/>
          </rPr>
          <t xml:space="preserve">
=P*2,28
</t>
        </r>
      </text>
    </comment>
    <comment ref="AE32" authorId="0" shapeId="0" xr:uid="{00000000-0006-0000-0200-000015000000}">
      <text>
        <r>
          <rPr>
            <sz val="10"/>
            <rFont val="Arial"/>
            <family val="2"/>
          </rPr>
          <t>für Mist mit eigenen Werten</t>
        </r>
      </text>
    </comment>
    <comment ref="AE33" authorId="0" shapeId="0" xr:uid="{00000000-0006-0000-0200-000016000000}">
      <text>
        <r>
          <rPr>
            <sz val="10"/>
            <rFont val="Arial"/>
            <family val="2"/>
          </rPr>
          <t>für Mist mit eigenen Werten</t>
        </r>
      </text>
    </comment>
    <comment ref="AE34" authorId="0" shapeId="0" xr:uid="{00000000-0006-0000-0200-000017000000}">
      <text>
        <r>
          <rPr>
            <sz val="10"/>
            <rFont val="Arial"/>
            <family val="2"/>
          </rPr>
          <t>für Mist mit eigenen Werten</t>
        </r>
      </text>
    </comment>
    <comment ref="AE35" authorId="0" shapeId="0" xr:uid="{00000000-0006-0000-0200-000018000000}">
      <text>
        <r>
          <rPr>
            <sz val="10"/>
            <rFont val="Arial"/>
            <family val="2"/>
          </rPr>
          <t>für Mist mit eigenen Werten</t>
        </r>
      </text>
    </comment>
    <comment ref="R41" authorId="0" shapeId="0" xr:uid="{00000000-0006-0000-0200-000009000000}">
      <text>
        <r>
          <rPr>
            <sz val="10"/>
            <rFont val="Arial"/>
            <family val="2"/>
          </rPr>
          <t>zuzügl. verk. Ferkel</t>
        </r>
      </text>
    </comment>
    <comment ref="R42" authorId="0" shapeId="0" xr:uid="{00000000-0006-0000-0200-00000A000000}">
      <text>
        <r>
          <rPr>
            <sz val="10"/>
            <rFont val="Arial"/>
            <family val="2"/>
          </rPr>
          <t>zuzügl. verk. Ferkel</t>
        </r>
      </text>
    </comment>
    <comment ref="R43" authorId="0" shapeId="0" xr:uid="{00000000-0006-0000-0200-00000B000000}">
      <text>
        <r>
          <rPr>
            <sz val="10"/>
            <rFont val="Arial"/>
            <family val="2"/>
          </rPr>
          <t>zuzügl. verk. Ferkel</t>
        </r>
      </text>
    </comment>
    <comment ref="R44" authorId="0" shapeId="0" xr:uid="{00000000-0006-0000-0200-00000C000000}">
      <text>
        <r>
          <rPr>
            <sz val="10"/>
            <rFont val="Arial"/>
            <family val="2"/>
          </rPr>
          <t>zuzügl. verk. Ferkel</t>
        </r>
      </text>
    </comment>
    <comment ref="R45" authorId="0" shapeId="0" xr:uid="{00000000-0006-0000-0200-00000D000000}">
      <text>
        <r>
          <rPr>
            <sz val="10"/>
            <rFont val="Arial"/>
            <family val="2"/>
          </rPr>
          <t>zuzügl. verk. Ferkel</t>
        </r>
      </text>
    </comment>
    <comment ref="R46" authorId="0" shapeId="0" xr:uid="{00000000-0006-0000-0200-00000E000000}">
      <text>
        <r>
          <rPr>
            <sz val="10"/>
            <rFont val="Arial"/>
            <family val="2"/>
          </rPr>
          <t>zuzügl. verk. Ferkel</t>
        </r>
      </text>
    </comment>
    <comment ref="Q47" authorId="0" shapeId="0" xr:uid="{00000000-0006-0000-0200-000003000000}">
      <text>
        <r>
          <rPr>
            <sz val="10"/>
            <rFont val="Arial"/>
            <family val="2"/>
          </rPr>
          <t>GVE je Schwein ab 50 kg im Ø Bestand abzügl. Ferkel-Einkauf</t>
        </r>
      </text>
    </comment>
    <comment ref="R47" authorId="0" shapeId="0" xr:uid="{00000000-0006-0000-0200-00000F000000}">
      <text>
        <r>
          <rPr>
            <sz val="10"/>
            <rFont val="Arial"/>
            <family val="2"/>
          </rPr>
          <t>abzügl. Ferkeleinkauf</t>
        </r>
      </text>
    </comment>
    <comment ref="Q48" authorId="0" shapeId="0" xr:uid="{00000000-0006-0000-0200-000004000000}">
      <text>
        <r>
          <rPr>
            <sz val="10"/>
            <rFont val="Arial"/>
            <family val="2"/>
          </rPr>
          <t>GVE je Schwein ab 50 kg im Ø Bestand abzügl. Ferkel-Einkauf</t>
        </r>
      </text>
    </comment>
    <comment ref="R48" authorId="0" shapeId="0" xr:uid="{00000000-0006-0000-0200-000010000000}">
      <text>
        <r>
          <rPr>
            <sz val="10"/>
            <rFont val="Arial"/>
            <family val="2"/>
          </rPr>
          <t>abzügl. Ferkeleinkauf</t>
        </r>
      </text>
    </comment>
    <comment ref="Q49" authorId="0" shapeId="0" xr:uid="{00000000-0006-0000-0200-000005000000}">
      <text>
        <r>
          <rPr>
            <sz val="10"/>
            <rFont val="Arial"/>
            <family val="2"/>
          </rPr>
          <t>GVE je Schwein ab 50 kg im Ø Bestand abzügl. Ferkel-Einkauf</t>
        </r>
      </text>
    </comment>
    <comment ref="R49" authorId="0" shapeId="0" xr:uid="{00000000-0006-0000-0200-000011000000}">
      <text>
        <r>
          <rPr>
            <sz val="10"/>
            <rFont val="Arial"/>
            <family val="2"/>
          </rPr>
          <t>abzügl. Ferkeleinkauf</t>
        </r>
      </text>
    </comment>
    <comment ref="Q50" authorId="0" shapeId="0" xr:uid="{00000000-0006-0000-0200-000006000000}">
      <text>
        <r>
          <rPr>
            <sz val="10"/>
            <rFont val="Arial"/>
            <family val="2"/>
          </rPr>
          <t>GVE je Schwein ab 50 kg im Ø Bestand abzügl. Ferkel-Einkauf</t>
        </r>
      </text>
    </comment>
    <comment ref="R50" authorId="0" shapeId="0" xr:uid="{00000000-0006-0000-0200-000012000000}">
      <text>
        <r>
          <rPr>
            <sz val="10"/>
            <rFont val="Arial"/>
            <family val="2"/>
          </rPr>
          <t>abzügl. Ferkeleinkauf</t>
        </r>
      </text>
    </comment>
    <comment ref="Q51" authorId="0" shapeId="0" xr:uid="{00000000-0006-0000-0200-000007000000}">
      <text>
        <r>
          <rPr>
            <sz val="10"/>
            <rFont val="Arial"/>
            <family val="2"/>
          </rPr>
          <t>GVE je Schwein ab 50 kg im Ø Bestand abzügl. Ferkel-Einkauf</t>
        </r>
      </text>
    </comment>
    <comment ref="R51" authorId="0" shapeId="0" xr:uid="{00000000-0006-0000-0200-000013000000}">
      <text>
        <r>
          <rPr>
            <sz val="10"/>
            <rFont val="Arial"/>
            <family val="2"/>
          </rPr>
          <t>abzügl. Ferkeleinkauf</t>
        </r>
      </text>
    </comment>
    <comment ref="Q52" authorId="0" shapeId="0" xr:uid="{00000000-0006-0000-0200-000008000000}">
      <text>
        <r>
          <rPr>
            <sz val="10"/>
            <rFont val="Arial"/>
            <family val="2"/>
          </rPr>
          <t>GVE je Schwein ab 50 kg im Ø Bestand abzügl. Ferkel-Einkauf</t>
        </r>
      </text>
    </comment>
    <comment ref="R52" authorId="0" shapeId="0" xr:uid="{00000000-0006-0000-0200-000014000000}">
      <text>
        <r>
          <rPr>
            <sz val="10"/>
            <rFont val="Arial"/>
            <family val="2"/>
          </rPr>
          <t>abzügl. Ferkeleinkauf</t>
        </r>
      </text>
    </comment>
    <comment ref="BK53" authorId="0" shapeId="0" xr:uid="{00000000-0006-0000-0200-00002B000000}">
      <text>
        <r>
          <rPr>
            <b/>
            <sz val="9"/>
            <color rgb="FF000000"/>
            <rFont val="Tahoma"/>
            <family val="2"/>
          </rPr>
          <t xml:space="preserve">Münzebrock:
</t>
        </r>
        <r>
          <rPr>
            <sz val="9"/>
            <color rgb="FF000000"/>
            <rFont val="Tahoma"/>
            <family val="2"/>
          </rPr>
          <t>hier können Sie eigene Futtermittel eintragen</t>
        </r>
      </text>
    </comment>
    <comment ref="BK54" authorId="0" shapeId="0" xr:uid="{00000000-0006-0000-0200-00002C000000}">
      <text>
        <r>
          <rPr>
            <b/>
            <sz val="9"/>
            <color rgb="FF000000"/>
            <rFont val="Tahoma"/>
            <family val="2"/>
          </rPr>
          <t xml:space="preserve">Münzebrock:
</t>
        </r>
        <r>
          <rPr>
            <sz val="9"/>
            <color rgb="FF000000"/>
            <rFont val="Tahoma"/>
            <family val="2"/>
          </rPr>
          <t>hier können Sie eigene Futtermittel eintragen</t>
        </r>
      </text>
    </comment>
    <comment ref="D55" authorId="0" shapeId="0" xr:uid="{00000000-0006-0000-0200-000001000000}">
      <text>
        <r>
          <rPr>
            <sz val="10"/>
            <rFont val="Arial"/>
            <family val="2"/>
          </rPr>
          <t>Bei Eingabe von Sauen mit Ferkeln oder Mastschweinen, müssen Sie u.a. die steuerl.Vieheinh. (Sau+Ferkelerzeugung, Mastschweine-Ferkel/Ek) berechnen u. eingeben.</t>
        </r>
      </text>
    </comment>
    <comment ref="AE55" authorId="0" shapeId="0" xr:uid="{00000000-0006-0000-0200-000019000000}">
      <text>
        <r>
          <rPr>
            <sz val="10"/>
            <rFont val="Arial"/>
            <family val="2"/>
          </rPr>
          <t>für Gülle mit eigenen Werten</t>
        </r>
      </text>
    </comment>
    <comment ref="BK55" authorId="0" shapeId="0" xr:uid="{00000000-0006-0000-0200-00002D000000}">
      <text>
        <r>
          <rPr>
            <b/>
            <sz val="9"/>
            <color rgb="FF000000"/>
            <rFont val="Tahoma"/>
            <family val="2"/>
          </rPr>
          <t xml:space="preserve">Münzebrock:
</t>
        </r>
        <r>
          <rPr>
            <sz val="9"/>
            <color rgb="FF000000"/>
            <rFont val="Tahoma"/>
            <family val="2"/>
          </rPr>
          <t>hier können Sie eigene Futtermittel eintragen</t>
        </r>
      </text>
    </comment>
    <comment ref="D56" authorId="0" shapeId="0" xr:uid="{00000000-0006-0000-0200-000002000000}">
      <text>
        <r>
          <rPr>
            <sz val="10"/>
            <rFont val="Arial"/>
            <family val="2"/>
          </rPr>
          <t>Bei Eingabe von Sauen mit Ferkeln oder Mastschweinen, müssen Sie u.a. die steuerl.Vieheinh. (Sau+Ferkelerzeugung, Mastschweine-Ferkel/Ek) berechnen u. eingeben.</t>
        </r>
      </text>
    </comment>
    <comment ref="AE56" authorId="0" shapeId="0" xr:uid="{00000000-0006-0000-0200-00001A000000}">
      <text>
        <r>
          <rPr>
            <sz val="10"/>
            <rFont val="Arial"/>
            <family val="2"/>
          </rPr>
          <t>für Gülle mit eigenen Werten</t>
        </r>
      </text>
    </comment>
    <comment ref="BK56" authorId="0" shapeId="0" xr:uid="{00000000-0006-0000-0200-00002E000000}">
      <text>
        <r>
          <rPr>
            <b/>
            <sz val="9"/>
            <color rgb="FF000000"/>
            <rFont val="Tahoma"/>
            <family val="2"/>
          </rPr>
          <t xml:space="preserve">Münzebrock:
</t>
        </r>
        <r>
          <rPr>
            <sz val="9"/>
            <color rgb="FF000000"/>
            <rFont val="Tahoma"/>
            <family val="2"/>
          </rPr>
          <t>hier können Sie eigene Futtermittel eintragen</t>
        </r>
      </text>
    </comment>
    <comment ref="AE57" authorId="0" shapeId="0" xr:uid="{00000000-0006-0000-0200-00001B000000}">
      <text>
        <r>
          <rPr>
            <sz val="10"/>
            <rFont val="Arial"/>
            <family val="2"/>
          </rPr>
          <t>für Gülle mit eigenen Werten</t>
        </r>
      </text>
    </comment>
    <comment ref="BK57" authorId="0" shapeId="0" xr:uid="{00000000-0006-0000-0200-00002F000000}">
      <text>
        <r>
          <rPr>
            <b/>
            <sz val="9"/>
            <color rgb="FF000000"/>
            <rFont val="Tahoma"/>
            <family val="2"/>
          </rPr>
          <t xml:space="preserve">Münzebrock:
</t>
        </r>
        <r>
          <rPr>
            <sz val="9"/>
            <color rgb="FF000000"/>
            <rFont val="Tahoma"/>
            <family val="2"/>
          </rPr>
          <t>hier können Sie eigene Futtermittel eintragen</t>
        </r>
      </text>
    </comment>
    <comment ref="AE58" authorId="0" shapeId="0" xr:uid="{00000000-0006-0000-0200-00001C000000}">
      <text>
        <r>
          <rPr>
            <sz val="10"/>
            <rFont val="Arial"/>
            <family val="2"/>
          </rPr>
          <t>für Gülle mit eigenen Werten</t>
        </r>
      </text>
    </comment>
    <comment ref="BK58" authorId="0" shapeId="0" xr:uid="{00000000-0006-0000-0200-000030000000}">
      <text>
        <r>
          <rPr>
            <b/>
            <sz val="9"/>
            <color rgb="FF000000"/>
            <rFont val="Tahoma"/>
            <family val="2"/>
          </rPr>
          <t xml:space="preserve">Münzebrock:
</t>
        </r>
        <r>
          <rPr>
            <sz val="9"/>
            <color rgb="FF000000"/>
            <rFont val="Tahoma"/>
            <family val="2"/>
          </rPr>
          <t>hier können Sie eigene Futtermittel eintragen</t>
        </r>
      </text>
    </comment>
    <comment ref="AE59" authorId="0" shapeId="0" xr:uid="{00000000-0006-0000-0200-00001D000000}">
      <text>
        <r>
          <rPr>
            <sz val="10"/>
            <rFont val="Arial"/>
            <family val="2"/>
          </rPr>
          <t>für Gülle mit eigenen Werten</t>
        </r>
      </text>
    </comment>
    <comment ref="BK59" authorId="0" shapeId="0" xr:uid="{00000000-0006-0000-0200-000031000000}">
      <text>
        <r>
          <rPr>
            <b/>
            <sz val="9"/>
            <color rgb="FF000000"/>
            <rFont val="Tahoma"/>
            <family val="2"/>
          </rPr>
          <t xml:space="preserve">Münzebrock:
</t>
        </r>
        <r>
          <rPr>
            <sz val="9"/>
            <color rgb="FF000000"/>
            <rFont val="Tahoma"/>
            <family val="2"/>
          </rPr>
          <t>hier können Sie eigene Futtermittel eintragen</t>
        </r>
      </text>
    </comment>
    <comment ref="BK60" authorId="0" shapeId="0" xr:uid="{00000000-0006-0000-0200-000032000000}">
      <text>
        <r>
          <rPr>
            <b/>
            <sz val="9"/>
            <color rgb="FF000000"/>
            <rFont val="Tahoma"/>
            <family val="2"/>
          </rPr>
          <t xml:space="preserve">Münzebrock:
</t>
        </r>
        <r>
          <rPr>
            <sz val="9"/>
            <color rgb="FF000000"/>
            <rFont val="Tahoma"/>
            <family val="2"/>
          </rPr>
          <t>hier können Sie eigene Futtermittel eintragen</t>
        </r>
      </text>
    </comment>
    <comment ref="BK61" authorId="0" shapeId="0" xr:uid="{00000000-0006-0000-0200-000033000000}">
      <text>
        <r>
          <rPr>
            <b/>
            <sz val="9"/>
            <color rgb="FF000000"/>
            <rFont val="Tahoma"/>
            <family val="2"/>
          </rPr>
          <t xml:space="preserve">Münzebrock:
</t>
        </r>
        <r>
          <rPr>
            <sz val="9"/>
            <color rgb="FF000000"/>
            <rFont val="Tahoma"/>
            <family val="2"/>
          </rPr>
          <t>hier können Sie eigene Futtermittel eintragen</t>
        </r>
      </text>
    </comment>
    <comment ref="BK62" authorId="0" shapeId="0" xr:uid="{00000000-0006-0000-0200-000034000000}">
      <text>
        <r>
          <rPr>
            <b/>
            <sz val="9"/>
            <color rgb="FF000000"/>
            <rFont val="Tahoma"/>
            <family val="2"/>
          </rPr>
          <t xml:space="preserve">Münzebrock:
</t>
        </r>
        <r>
          <rPr>
            <sz val="9"/>
            <color rgb="FF000000"/>
            <rFont val="Tahoma"/>
            <family val="2"/>
          </rPr>
          <t>hier können Sie eigene Futtermittel eintragen</t>
        </r>
      </text>
    </comment>
    <comment ref="BK63" authorId="0" shapeId="0" xr:uid="{00000000-0006-0000-0200-000035000000}">
      <text>
        <r>
          <rPr>
            <b/>
            <sz val="9"/>
            <color rgb="FF000000"/>
            <rFont val="Tahoma"/>
            <family val="2"/>
          </rPr>
          <t xml:space="preserve">Münzebrock:
</t>
        </r>
        <r>
          <rPr>
            <sz val="9"/>
            <color rgb="FF000000"/>
            <rFont val="Tahoma"/>
            <family val="2"/>
          </rPr>
          <t>hier können Sie eigene Futtermittel eintragen</t>
        </r>
      </text>
    </comment>
    <comment ref="BK64" authorId="0" shapeId="0" xr:uid="{00000000-0006-0000-0200-000036000000}">
      <text>
        <r>
          <rPr>
            <b/>
            <sz val="9"/>
            <color rgb="FF000000"/>
            <rFont val="Tahoma"/>
            <family val="2"/>
          </rPr>
          <t xml:space="preserve">Münzebrock:
</t>
        </r>
        <r>
          <rPr>
            <sz val="9"/>
            <color rgb="FF000000"/>
            <rFont val="Tahoma"/>
            <family val="2"/>
          </rPr>
          <t>hier können Sie eigene Futtermittel eintragen</t>
        </r>
      </text>
    </comment>
    <comment ref="BK65" authorId="0" shapeId="0" xr:uid="{00000000-0006-0000-0200-000037000000}">
      <text>
        <r>
          <rPr>
            <b/>
            <sz val="9"/>
            <color rgb="FF000000"/>
            <rFont val="Tahoma"/>
            <family val="2"/>
          </rPr>
          <t xml:space="preserve">Münzebrock:
</t>
        </r>
        <r>
          <rPr>
            <sz val="9"/>
            <color rgb="FF000000"/>
            <rFont val="Tahoma"/>
            <family val="2"/>
          </rPr>
          <t>hier können Sie eigene Futtermittel eintragen</t>
        </r>
      </text>
    </comment>
    <comment ref="BK66" authorId="0" shapeId="0" xr:uid="{00000000-0006-0000-0200-000038000000}">
      <text>
        <r>
          <rPr>
            <b/>
            <sz val="9"/>
            <color rgb="FF000000"/>
            <rFont val="Tahoma"/>
            <family val="2"/>
          </rPr>
          <t xml:space="preserve">Münzebrock:
</t>
        </r>
        <r>
          <rPr>
            <sz val="9"/>
            <color rgb="FF000000"/>
            <rFont val="Tahoma"/>
            <family val="2"/>
          </rPr>
          <t>hier können Sie eigene Futtermittel eintragen</t>
        </r>
      </text>
    </comment>
    <comment ref="BK67" authorId="0" shapeId="0" xr:uid="{00000000-0006-0000-0200-000039000000}">
      <text>
        <r>
          <rPr>
            <b/>
            <sz val="9"/>
            <color rgb="FF000000"/>
            <rFont val="Tahoma"/>
            <family val="2"/>
          </rPr>
          <t xml:space="preserve">Münzebrock:
</t>
        </r>
        <r>
          <rPr>
            <sz val="9"/>
            <color rgb="FF000000"/>
            <rFont val="Tahoma"/>
            <family val="2"/>
          </rPr>
          <t>hier können Sie eigene Futtermittel eintragen</t>
        </r>
      </text>
    </comment>
    <comment ref="BK68" authorId="0" shapeId="0" xr:uid="{00000000-0006-0000-0200-00003A000000}">
      <text>
        <r>
          <rPr>
            <b/>
            <sz val="9"/>
            <color rgb="FF000000"/>
            <rFont val="Tahoma"/>
            <family val="2"/>
          </rPr>
          <t xml:space="preserve">Münzebrock:
</t>
        </r>
        <r>
          <rPr>
            <sz val="9"/>
            <color rgb="FF000000"/>
            <rFont val="Tahoma"/>
            <family val="2"/>
          </rPr>
          <t>hier können Sie eigene Futtermittel eintragen</t>
        </r>
      </text>
    </comment>
    <comment ref="BK69" authorId="0" shapeId="0" xr:uid="{00000000-0006-0000-0200-00003B000000}">
      <text>
        <r>
          <rPr>
            <b/>
            <sz val="9"/>
            <color rgb="FF000000"/>
            <rFont val="Tahoma"/>
            <family val="2"/>
          </rPr>
          <t xml:space="preserve">Münzebrock:
</t>
        </r>
        <r>
          <rPr>
            <sz val="9"/>
            <color rgb="FF000000"/>
            <rFont val="Tahoma"/>
            <family val="2"/>
          </rPr>
          <t>hier können Sie eigene Futtermittel eintragen</t>
        </r>
      </text>
    </comment>
    <comment ref="AX204" authorId="0" shapeId="0" xr:uid="{00000000-0006-0000-0200-00001F000000}">
      <text>
        <r>
          <rPr>
            <b/>
            <sz val="9"/>
            <color rgb="FF000000"/>
            <rFont val="Tahoma"/>
            <family val="2"/>
          </rPr>
          <t xml:space="preserve">Münzebrock:
</t>
        </r>
        <r>
          <rPr>
            <sz val="9"/>
            <color rgb="FF000000"/>
            <rFont val="Tahoma"/>
            <family val="2"/>
          </rPr>
          <t>Hier können Sie weitere Erzeugnisse eintragen</t>
        </r>
      </text>
    </comment>
    <comment ref="AX205" authorId="0" shapeId="0" xr:uid="{00000000-0006-0000-0200-000020000000}">
      <text>
        <r>
          <rPr>
            <b/>
            <sz val="9"/>
            <color rgb="FF000000"/>
            <rFont val="Tahoma"/>
            <family val="2"/>
          </rPr>
          <t xml:space="preserve">Münzebrock:
</t>
        </r>
        <r>
          <rPr>
            <sz val="9"/>
            <color rgb="FF000000"/>
            <rFont val="Tahoma"/>
            <family val="2"/>
          </rPr>
          <t>Hier können Sie weitere Erzeugnisse eintragen</t>
        </r>
      </text>
    </comment>
    <comment ref="AX206" authorId="0" shapeId="0" xr:uid="{00000000-0006-0000-0200-000021000000}">
      <text>
        <r>
          <rPr>
            <b/>
            <sz val="9"/>
            <color rgb="FF000000"/>
            <rFont val="Tahoma"/>
            <family val="2"/>
          </rPr>
          <t xml:space="preserve">Münzebrock:
</t>
        </r>
        <r>
          <rPr>
            <sz val="9"/>
            <color rgb="FF000000"/>
            <rFont val="Tahoma"/>
            <family val="2"/>
          </rPr>
          <t>Hier können Sie weitere Erzeugnisse eintragen</t>
        </r>
      </text>
    </comment>
    <comment ref="AX207" authorId="0" shapeId="0" xr:uid="{00000000-0006-0000-0200-000022000000}">
      <text>
        <r>
          <rPr>
            <b/>
            <sz val="9"/>
            <color rgb="FF000000"/>
            <rFont val="Tahoma"/>
            <family val="2"/>
          </rPr>
          <t xml:space="preserve">Münzebrock:
</t>
        </r>
        <r>
          <rPr>
            <sz val="9"/>
            <color rgb="FF000000"/>
            <rFont val="Tahoma"/>
            <family val="2"/>
          </rPr>
          <t>Hier können Sie weitere Erzeugnisse eintragen</t>
        </r>
      </text>
    </comment>
    <comment ref="AX208" authorId="0" shapeId="0" xr:uid="{00000000-0006-0000-0200-000023000000}">
      <text>
        <r>
          <rPr>
            <b/>
            <sz val="9"/>
            <color rgb="FF000000"/>
            <rFont val="Tahoma"/>
            <family val="2"/>
          </rPr>
          <t xml:space="preserve">Münzebrock:
</t>
        </r>
        <r>
          <rPr>
            <sz val="9"/>
            <color rgb="FF000000"/>
            <rFont val="Tahoma"/>
            <family val="2"/>
          </rPr>
          <t>Hier können Sie weitere Erzeugnisse eintragen</t>
        </r>
      </text>
    </comment>
    <comment ref="AX209" authorId="0" shapeId="0" xr:uid="{00000000-0006-0000-0200-000024000000}">
      <text>
        <r>
          <rPr>
            <b/>
            <sz val="9"/>
            <color rgb="FF000000"/>
            <rFont val="Tahoma"/>
            <family val="2"/>
          </rPr>
          <t xml:space="preserve">Münzebrock:
</t>
        </r>
        <r>
          <rPr>
            <sz val="9"/>
            <color rgb="FF000000"/>
            <rFont val="Tahoma"/>
            <family val="2"/>
          </rPr>
          <t>Hier können Sie weitere Erzeugnisse eintragen</t>
        </r>
      </text>
    </comment>
    <comment ref="AX210" authorId="0" shapeId="0" xr:uid="{00000000-0006-0000-0200-000025000000}">
      <text>
        <r>
          <rPr>
            <b/>
            <sz val="9"/>
            <color rgb="FF000000"/>
            <rFont val="Tahoma"/>
            <family val="2"/>
          </rPr>
          <t xml:space="preserve">Münzebrock:
</t>
        </r>
        <r>
          <rPr>
            <sz val="9"/>
            <color rgb="FF000000"/>
            <rFont val="Tahoma"/>
            <family val="2"/>
          </rPr>
          <t>Hier können Sie weitere Erzeugnisse eintragen</t>
        </r>
      </text>
    </comment>
    <comment ref="AX211" authorId="0" shapeId="0" xr:uid="{00000000-0006-0000-0200-000026000000}">
      <text>
        <r>
          <rPr>
            <b/>
            <sz val="9"/>
            <color rgb="FF000000"/>
            <rFont val="Tahoma"/>
            <family val="2"/>
          </rPr>
          <t xml:space="preserve">Münzebrock:
</t>
        </r>
        <r>
          <rPr>
            <sz val="9"/>
            <color rgb="FF000000"/>
            <rFont val="Tahoma"/>
            <family val="2"/>
          </rPr>
          <t>Hier können Sie weitere Erzeugnisse eintragen</t>
        </r>
      </text>
    </comment>
    <comment ref="AX212" authorId="0" shapeId="0" xr:uid="{00000000-0006-0000-0200-000027000000}">
      <text>
        <r>
          <rPr>
            <b/>
            <sz val="9"/>
            <color rgb="FF000000"/>
            <rFont val="Tahoma"/>
            <family val="2"/>
          </rPr>
          <t xml:space="preserve">Münzebrock:
</t>
        </r>
        <r>
          <rPr>
            <sz val="9"/>
            <color rgb="FF000000"/>
            <rFont val="Tahoma"/>
            <family val="2"/>
          </rPr>
          <t>Hier können Sie weitere Erzeugnisse eintragen</t>
        </r>
      </text>
    </comment>
    <comment ref="AX213" authorId="0" shapeId="0" xr:uid="{00000000-0006-0000-0200-000028000000}">
      <text>
        <r>
          <rPr>
            <b/>
            <sz val="9"/>
            <color rgb="FF000000"/>
            <rFont val="Tahoma"/>
            <family val="2"/>
          </rPr>
          <t xml:space="preserve">Münzebrock:
</t>
        </r>
        <r>
          <rPr>
            <sz val="9"/>
            <color rgb="FF000000"/>
            <rFont val="Tahoma"/>
            <family val="2"/>
          </rPr>
          <t>Hier können Sie weitere Erzeugnisse eintragen</t>
        </r>
      </text>
    </comment>
    <comment ref="AX214" authorId="0" shapeId="0" xr:uid="{00000000-0006-0000-0200-000029000000}">
      <text>
        <r>
          <rPr>
            <b/>
            <sz val="9"/>
            <color rgb="FF000000"/>
            <rFont val="Tahoma"/>
            <family val="2"/>
          </rPr>
          <t xml:space="preserve">Münzebrock:
</t>
        </r>
        <r>
          <rPr>
            <sz val="9"/>
            <color rgb="FF000000"/>
            <rFont val="Tahoma"/>
            <family val="2"/>
          </rPr>
          <t>Hier können Sie weitere Erzeugnisse eintragen</t>
        </r>
      </text>
    </comment>
    <comment ref="AX215" authorId="0" shapeId="0" xr:uid="{00000000-0006-0000-0200-00002A000000}">
      <text>
        <r>
          <rPr>
            <b/>
            <sz val="9"/>
            <color rgb="FF000000"/>
            <rFont val="Tahoma"/>
            <family val="2"/>
          </rPr>
          <t xml:space="preserve">Münzebrock:
</t>
        </r>
        <r>
          <rPr>
            <sz val="9"/>
            <color rgb="FF000000"/>
            <rFont val="Tahoma"/>
            <family val="2"/>
          </rPr>
          <t>Hier können Sie weitere Erzeugnisse eintragen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E18" authorId="0" shapeId="0" xr:uid="{00000000-0006-0000-0500-000002000000}">
      <text>
        <r>
          <rPr>
            <b/>
            <sz val="9"/>
            <color rgb="FF000000"/>
            <rFont val="Tahoma"/>
            <family val="2"/>
          </rPr>
          <t xml:space="preserve">Münzebrock:
</t>
        </r>
        <r>
          <rPr>
            <sz val="9"/>
            <color rgb="FF000000"/>
            <rFont val="Tahoma"/>
            <family val="2"/>
          </rPr>
          <t>Bitte Werte gemaß ihrer Unterlagen eintragen</t>
        </r>
      </text>
    </comment>
    <comment ref="F18" authorId="0" shapeId="0" xr:uid="{00000000-0006-0000-0500-000003000000}">
      <text>
        <r>
          <rPr>
            <b/>
            <sz val="9"/>
            <color rgb="FF000000"/>
            <rFont val="Tahoma"/>
            <family val="2"/>
          </rPr>
          <t xml:space="preserve">Münzebrock:
</t>
        </r>
        <r>
          <rPr>
            <sz val="9"/>
            <color rgb="FF000000"/>
            <rFont val="Tahoma"/>
            <family val="2"/>
          </rPr>
          <t>Bitte Werte gemaß ihrer Unterlagen eintragen</t>
        </r>
      </text>
    </comment>
    <comment ref="G18" authorId="0" shapeId="0" xr:uid="{00000000-0006-0000-0500-000004000000}">
      <text>
        <r>
          <rPr>
            <b/>
            <sz val="9"/>
            <color rgb="FF000000"/>
            <rFont val="Tahoma"/>
            <family val="2"/>
          </rPr>
          <t xml:space="preserve">Münzebrock:
</t>
        </r>
        <r>
          <rPr>
            <sz val="9"/>
            <color rgb="FF000000"/>
            <rFont val="Tahoma"/>
            <family val="2"/>
          </rPr>
          <t>Bitte Werte gemäß ihrer Unterlagen eintragen</t>
        </r>
      </text>
    </comment>
    <comment ref="H18" authorId="0" shapeId="0" xr:uid="{00000000-0006-0000-0500-000005000000}">
      <text>
        <r>
          <rPr>
            <b/>
            <sz val="9"/>
            <color rgb="FF000000"/>
            <rFont val="Tahoma"/>
            <family val="2"/>
          </rPr>
          <t xml:space="preserve">Münzebrock:
</t>
        </r>
        <r>
          <rPr>
            <sz val="9"/>
            <color rgb="FF000000"/>
            <rFont val="Tahoma"/>
            <family val="2"/>
          </rPr>
          <t>Bitte Werte gemaß ihrer Unterlagen eintragen</t>
        </r>
      </text>
    </comment>
    <comment ref="O18" authorId="0" shapeId="0" xr:uid="{00000000-0006-0000-0500-000006000000}">
      <text>
        <r>
          <rPr>
            <b/>
            <sz val="9"/>
            <color rgb="FF000000"/>
            <rFont val="Tahoma"/>
            <family val="2"/>
          </rPr>
          <t xml:space="preserve">Münzebrock:
</t>
        </r>
        <r>
          <rPr>
            <sz val="9"/>
            <color rgb="FF000000"/>
            <rFont val="Tahoma"/>
            <family val="2"/>
          </rPr>
          <t>Bitte Werte gemaß ihrer Unterlagen eintragen</t>
        </r>
      </text>
    </comment>
    <comment ref="P18" authorId="0" shapeId="0" xr:uid="{00000000-0006-0000-0500-000007000000}">
      <text>
        <r>
          <rPr>
            <b/>
            <sz val="9"/>
            <color rgb="FF000000"/>
            <rFont val="Tahoma"/>
            <family val="2"/>
          </rPr>
          <t xml:space="preserve">Münzebrock:
</t>
        </r>
        <r>
          <rPr>
            <sz val="9"/>
            <color rgb="FF000000"/>
            <rFont val="Tahoma"/>
            <family val="2"/>
          </rPr>
          <t>Bitte Werte gemäß ihrer Unterlagen eintragen</t>
        </r>
      </text>
    </comment>
    <comment ref="C21" authorId="0" shapeId="0" xr:uid="{00000000-0006-0000-0500-000001000000}">
      <text>
        <r>
          <rPr>
            <b/>
            <sz val="9"/>
            <color rgb="FF000000"/>
            <rFont val="Tahoma"/>
            <family val="2"/>
          </rPr>
          <t xml:space="preserve">Münzebrock:
</t>
        </r>
        <r>
          <rPr>
            <sz val="9"/>
            <color rgb="FF000000"/>
            <rFont val="Tahoma"/>
            <family val="2"/>
          </rPr>
          <t>Werte werden automatisch übernommen.</t>
        </r>
      </text>
    </comment>
  </commentList>
</comments>
</file>

<file path=xl/sharedStrings.xml><?xml version="1.0" encoding="utf-8"?>
<sst xmlns="http://schemas.openxmlformats.org/spreadsheetml/2006/main" count="1295" uniqueCount="752">
  <si>
    <t>Stoffstrombilanz</t>
  </si>
  <si>
    <t>lt. Verordnung vom 14.12.2017</t>
  </si>
  <si>
    <t xml:space="preserve">                              Hoftorbilanz nach StoffBilV</t>
  </si>
  <si>
    <t>für</t>
  </si>
  <si>
    <t>Betriebs – Nr.:</t>
  </si>
  <si>
    <t>03 123 456 7890</t>
  </si>
  <si>
    <t>Kalenderjahr</t>
  </si>
  <si>
    <t>oder</t>
  </si>
  <si>
    <t>Wirtschaftsj.</t>
  </si>
  <si>
    <t>Name</t>
  </si>
  <si>
    <t>Mustermann</t>
  </si>
  <si>
    <t>Vorname:</t>
  </si>
  <si>
    <t>Oliver</t>
  </si>
  <si>
    <t>Straße:</t>
  </si>
  <si>
    <t>Im Blanken 51</t>
  </si>
  <si>
    <t>PLZ:</t>
  </si>
  <si>
    <t>Ort:</t>
  </si>
  <si>
    <t>Musterdorf</t>
  </si>
  <si>
    <t>Betriebsgrösse / ha:</t>
  </si>
  <si>
    <t>davon Grünland / ha:</t>
  </si>
  <si>
    <t>Version 2019    von Heinrich - Bernhard Münzebrock</t>
  </si>
  <si>
    <t>Nährstoff Zu- Abfuhr des Gesamtbetriebes</t>
  </si>
  <si>
    <t>Wirtschaftsj:</t>
  </si>
  <si>
    <t xml:space="preserve">   berechnet am: </t>
  </si>
  <si>
    <t>erstellt am:</t>
  </si>
  <si>
    <t>** Sie finden alle Werte im Blatt "Daten"</t>
  </si>
  <si>
    <t>Pflanzliche Erzeugnisse **</t>
  </si>
  <si>
    <t>Code</t>
  </si>
  <si>
    <t>Menge</t>
  </si>
  <si>
    <t>Nährstoffgehalte in %</t>
  </si>
  <si>
    <t>Zufuhr Nährstoff in kg</t>
  </si>
  <si>
    <t>Abfuhr Nährstoff in kg</t>
  </si>
  <si>
    <t xml:space="preserve">  Nr.:</t>
  </si>
  <si>
    <t>Bezeichnung</t>
  </si>
  <si>
    <t>Zufuhr in kg</t>
  </si>
  <si>
    <t>Abgabe in kg</t>
  </si>
  <si>
    <t>Stickstoff</t>
  </si>
  <si>
    <t>Phosphor</t>
  </si>
  <si>
    <r>
      <rPr>
        <b/>
        <sz val="10"/>
        <rFont val="Arial"/>
        <family val="2"/>
      </rPr>
      <t>K</t>
    </r>
    <r>
      <rPr>
        <sz val="11"/>
        <rFont val="Arial"/>
        <family val="2"/>
      </rPr>
      <t>2O</t>
    </r>
  </si>
  <si>
    <t>Stickst.</t>
  </si>
  <si>
    <t>Phosph.</t>
  </si>
  <si>
    <t>Daten</t>
  </si>
  <si>
    <t>Fehlersuche</t>
  </si>
  <si>
    <t>Getreide</t>
  </si>
  <si>
    <t>Mais</t>
  </si>
  <si>
    <t>Legumin.</t>
  </si>
  <si>
    <t>Kartoffeln</t>
  </si>
  <si>
    <t>Rüben</t>
  </si>
  <si>
    <t>Weizen Korn (12% RP) + Stroh3</t>
  </si>
  <si>
    <t>Wintergerste Korn + Stroh3 (12 % RP2)</t>
  </si>
  <si>
    <t>Grünland 5 Nutzungen (110 dt/ha TM) Ganzpflanze</t>
  </si>
  <si>
    <t>Spinat, Hack, Standard</t>
  </si>
  <si>
    <t>Körnermais Korn (10 % RP2)</t>
  </si>
  <si>
    <t>Summe :</t>
  </si>
  <si>
    <t>Tierische Erzeugnisse **</t>
  </si>
  <si>
    <t>Code Nr.:</t>
  </si>
  <si>
    <t>Kuhmilch 3,2 % RP</t>
  </si>
  <si>
    <t>Summe:</t>
  </si>
  <si>
    <t>Landwirtschaftliche Nutztiere **</t>
  </si>
  <si>
    <t>Lebend</t>
  </si>
  <si>
    <t>Anzahl</t>
  </si>
  <si>
    <t>kg/Tier</t>
  </si>
  <si>
    <t>Rind, fleischbetont</t>
  </si>
  <si>
    <t>Schweine</t>
  </si>
  <si>
    <r>
      <rPr>
        <b/>
        <sz val="12"/>
        <color rgb="FF000000"/>
        <rFont val="Arial"/>
        <family val="2"/>
      </rPr>
      <t xml:space="preserve">Futtermittel </t>
    </r>
    <r>
      <rPr>
        <b/>
        <sz val="8"/>
        <color rgb="FF000000"/>
        <rFont val="Arial"/>
        <family val="2"/>
      </rPr>
      <t>(Achtung: Sie müssen die Menge auf 100% Trockenmasse umrechnen) **</t>
    </r>
  </si>
  <si>
    <t>Zufuhr in kg TM</t>
  </si>
  <si>
    <t>Abgabe in kg TM</t>
  </si>
  <si>
    <t>Rapsextraktionsschrot</t>
  </si>
  <si>
    <t>Weizenkleie</t>
  </si>
  <si>
    <r>
      <rPr>
        <b/>
        <sz val="12"/>
        <color rgb="FF000000"/>
        <rFont val="Arial"/>
        <family val="2"/>
      </rPr>
      <t xml:space="preserve">Saatgut einschl. Pflanzgut und Vermehrungsmaterial </t>
    </r>
    <r>
      <rPr>
        <b/>
        <sz val="8"/>
        <color rgb="FF000000"/>
        <rFont val="Arial"/>
        <family val="2"/>
      </rPr>
      <t>(nur für Getreide, Mais, Kartoffeln und Körnerleguminosen zu ermitteln) **</t>
    </r>
  </si>
  <si>
    <t>Weizen Korn (12% RP2)</t>
  </si>
  <si>
    <t>Wintergerste Korn (12 % RP2)</t>
  </si>
  <si>
    <t>Bodenhilfsstoffe **</t>
  </si>
  <si>
    <t>Kalkklärschlamm (t)</t>
  </si>
  <si>
    <t>Pflanzenhilfsmittel</t>
  </si>
  <si>
    <t>ha</t>
  </si>
  <si>
    <t>Kultursubstrate</t>
  </si>
  <si>
    <t>Pflanzenhilfsmittel **</t>
  </si>
  <si>
    <t>Kultursubstrate **</t>
  </si>
  <si>
    <t>Biokompost (t)</t>
  </si>
  <si>
    <t>Wirtschaftsdünger tierischer Herkunft **</t>
  </si>
  <si>
    <t>Lieferung</t>
  </si>
  <si>
    <t>an / von</t>
  </si>
  <si>
    <t>Schweinegülle Durchschnitt (RAM)</t>
  </si>
  <si>
    <t>Rindergülle (Milchkühe)</t>
  </si>
  <si>
    <t>Mineralische / Organische Düngemittel **</t>
  </si>
  <si>
    <t>Kalkammonsalpeter</t>
  </si>
  <si>
    <t>NPK 16+16+16</t>
  </si>
  <si>
    <t>Sonstige Stoffe **</t>
  </si>
  <si>
    <t>Ackergras</t>
  </si>
  <si>
    <t>Stickstoffzufuhr durch Leguminosen **</t>
  </si>
  <si>
    <t>Fläche</t>
  </si>
  <si>
    <t>Ertrag</t>
  </si>
  <si>
    <t>( kg FM/ha )</t>
  </si>
  <si>
    <t>Körnererbsen</t>
  </si>
  <si>
    <t>Buschbohnen</t>
  </si>
  <si>
    <t>Zufuhr</t>
  </si>
  <si>
    <t>Abfuhr</t>
  </si>
  <si>
    <t xml:space="preserve">Gesamt:  </t>
  </si>
  <si>
    <t xml:space="preserve">Bilanz: </t>
  </si>
  <si>
    <t>Nachfolgende Tabellen lt. Landwirtschaftskammer Weser-Ems vom  26.07.2011</t>
  </si>
  <si>
    <t>Grundtabellen nach StoffbilV vom 17.12.2017</t>
  </si>
  <si>
    <t>1 Haupternteprodukt-Nebenernteprodukt-Verhältnis.</t>
  </si>
  <si>
    <t>2 Rohproteingehalt in der TM (Trockenmasse.)</t>
  </si>
  <si>
    <t>Tabelle 1: Nährstoffausscheidung landwirtschaftlicher Nutztiere je Stallplatz und Jahr</t>
  </si>
  <si>
    <t>3 Nährstoffgehalt Haupternte- und Nebenernteprodukt bezogen auf Haupternteprodukt</t>
  </si>
  <si>
    <t>* (anrechenbarer N nach Abzug der Lagerungsverluste bei Gülle u. Festmist gemäß Reform vom Januar 2006)</t>
  </si>
  <si>
    <t>Nährstoffgehalte tierischer Erzeugnisse, von Zuchttieren
(ggf. auch tote Tiere) sowie Schlachtgewicht</t>
  </si>
  <si>
    <t>Tabelle 4: Anzurechnende symbiontische N-Bindung durch Leguminosen</t>
  </si>
  <si>
    <t>Tabelle 2: Nährstoffgehalte von Düngemitteln (kg / 100 kg Dünger)</t>
  </si>
  <si>
    <t>Tabelle 3: Nährstoffgehalte von Wirtschaftsdüngern (Lagerungsverluste sind brücksichtigt)</t>
  </si>
  <si>
    <t>Nährstoffgehalte pflanzlicher Erzeugnisse aus Ackerkulturen
sowie in Saatgut einschließlich Pflanzgut und Vermehrungsmaterial</t>
  </si>
  <si>
    <t>Tabelle 6: Nährstoffgehalte von Einzelfuttermitteln</t>
  </si>
  <si>
    <t>Tabelle 7: Sonstige Stoffe</t>
  </si>
  <si>
    <t>Tabelle 8: Bodenhilfsstoffe - Pflanzenhilfsstoffe - Kultursubstrate</t>
  </si>
  <si>
    <t>Sie können alle Werte nach Bedarf anpassen</t>
  </si>
  <si>
    <t>Schlachtgewicht in % des Lebendgewichtes</t>
  </si>
  <si>
    <t>steu-erl. Vieh-einh.</t>
  </si>
  <si>
    <t>Für den Eintrag der Zu- und Abfuhr von Wirtschaftsdüngern sind eigene Werte zu ermitteln und hier einzutragen. Alle hier vorhandenen Werte können Sie entsprechend anpassen</t>
  </si>
  <si>
    <t>biol.N-Fixierung kg/dt</t>
  </si>
  <si>
    <t>% TM in der FM</t>
  </si>
  <si>
    <t>Korn-/ Stroh-Verhältnis*       1 : X</t>
  </si>
  <si>
    <t>Nährstoffaufnahme kg / dt Ertragserwartung</t>
  </si>
  <si>
    <t>TM-Gehalt Haupt-/</t>
  </si>
  <si>
    <t>durchschnittliche Ertragserwartung dt/ha</t>
  </si>
  <si>
    <t>Korn-/</t>
  </si>
  <si>
    <t>Nährstoffentzug des Erntegutes kg/dt</t>
  </si>
  <si>
    <t>Gehalte in kg/m³ bzw to</t>
  </si>
  <si>
    <t>Code   Nr.</t>
  </si>
  <si>
    <t>Erzeugnisse, Tiere</t>
  </si>
  <si>
    <t>Produktionsverfahren</t>
  </si>
  <si>
    <t>N* Brutto</t>
  </si>
  <si>
    <t>N          kg / t</t>
  </si>
  <si>
    <t>N*-Festmist</t>
  </si>
  <si>
    <r>
      <rPr>
        <b/>
        <sz val="10"/>
        <rFont val="Arial"/>
        <family val="2"/>
      </rPr>
      <t>P</t>
    </r>
    <r>
      <rPr>
        <b/>
        <sz val="11"/>
        <rFont val="Arial"/>
        <family val="2"/>
      </rPr>
      <t>2O5 kg / t</t>
    </r>
  </si>
  <si>
    <t>P              kg / t</t>
  </si>
  <si>
    <t>alle</t>
  </si>
  <si>
    <t>männl. Tiere</t>
  </si>
  <si>
    <t>weibl. Tiere</t>
  </si>
  <si>
    <t>Milchkühe</t>
  </si>
  <si>
    <t>GVE</t>
  </si>
  <si>
    <t xml:space="preserve">Mineraldünger </t>
  </si>
  <si>
    <t>N</t>
  </si>
  <si>
    <r>
      <rPr>
        <b/>
        <sz val="10"/>
        <rFont val="Arial"/>
        <family val="2"/>
      </rPr>
      <t>P</t>
    </r>
    <r>
      <rPr>
        <sz val="11"/>
        <rFont val="Arial"/>
        <family val="2"/>
      </rPr>
      <t>2O5</t>
    </r>
  </si>
  <si>
    <t>MgO</t>
  </si>
  <si>
    <t>S</t>
  </si>
  <si>
    <t>Kalkwert CaO</t>
  </si>
  <si>
    <t>Preis je dt.</t>
  </si>
  <si>
    <t>Wirtschaftsdünger</t>
  </si>
  <si>
    <t>TM-Gehalt in %</t>
  </si>
  <si>
    <t>Verfügbar   N in %</t>
  </si>
  <si>
    <t>NH4-N</t>
  </si>
  <si>
    <t>P2O5</t>
  </si>
  <si>
    <t>K2O</t>
  </si>
  <si>
    <t>MG O</t>
  </si>
  <si>
    <t>Fruchtart</t>
  </si>
  <si>
    <t>Ertrag dt/ha FM</t>
  </si>
  <si>
    <t>N-Fixieru-ng kg/ha</t>
  </si>
  <si>
    <t>Kultur</t>
  </si>
  <si>
    <t>Ernteprodukt</t>
  </si>
  <si>
    <t>kg N /dt FM</t>
  </si>
  <si>
    <t>kg P2O5 je dt FM</t>
  </si>
  <si>
    <t>kg P / dt FM</t>
  </si>
  <si>
    <t>Einzelfuttermittel</t>
  </si>
  <si>
    <t>Neben-Erntegut</t>
  </si>
  <si>
    <t>Stroh-Verhältnis*</t>
  </si>
  <si>
    <r>
      <rPr>
        <b/>
        <sz val="11"/>
        <rFont val="Arial"/>
        <family val="2"/>
      </rPr>
      <t>P</t>
    </r>
    <r>
      <rPr>
        <sz val="11"/>
        <rFont val="Arial"/>
        <family val="2"/>
      </rPr>
      <t>2O5</t>
    </r>
  </si>
  <si>
    <t>P</t>
  </si>
  <si>
    <r>
      <rPr>
        <b/>
        <sz val="10.5"/>
        <rFont val="Arial"/>
        <family val="2"/>
      </rPr>
      <t>P</t>
    </r>
    <r>
      <rPr>
        <sz val="11"/>
        <rFont val="Arial"/>
        <family val="2"/>
      </rPr>
      <t>2O5</t>
    </r>
  </si>
  <si>
    <r>
      <rPr>
        <b/>
        <sz val="10.5"/>
        <rFont val="Arial"/>
        <family val="2"/>
      </rPr>
      <t>K</t>
    </r>
    <r>
      <rPr>
        <sz val="11"/>
        <rFont val="Arial"/>
        <family val="2"/>
      </rPr>
      <t>2O</t>
    </r>
  </si>
  <si>
    <t>NH4</t>
  </si>
  <si>
    <t>Tierische Erzeugnisse</t>
  </si>
  <si>
    <t>Stall / Lagerverlust %:</t>
  </si>
  <si>
    <t>Mist und Geflügelkot (kg je 10 dt)</t>
  </si>
  <si>
    <t>Hauptfrüchte</t>
  </si>
  <si>
    <t>Getreide, Körnermais</t>
  </si>
  <si>
    <t>Altbrot</t>
  </si>
  <si>
    <t>Rotklee</t>
  </si>
  <si>
    <t>Mineraldünger</t>
  </si>
  <si>
    <t>Leguminosen</t>
  </si>
  <si>
    <t>Haupternteprodukte</t>
  </si>
  <si>
    <t>Futtermittel</t>
  </si>
  <si>
    <t>Zwischenfrucht</t>
  </si>
  <si>
    <t>Sekundärrohstoffdünger</t>
  </si>
  <si>
    <t>45 - 125 kg LM,
= 3 Durchgänge/Jahr</t>
  </si>
  <si>
    <t>Hydro Sulfan, N-Plus, Dynamon S</t>
  </si>
  <si>
    <t>Rindermist (Milchkühe)</t>
  </si>
  <si>
    <t>Ackerbohnen</t>
  </si>
  <si>
    <t>Korn (12 % RP2)</t>
  </si>
  <si>
    <t>–</t>
  </si>
  <si>
    <t>Apfeltrester 1</t>
  </si>
  <si>
    <t>Luzerne</t>
  </si>
  <si>
    <t>Nassklärschlamm (m³)</t>
  </si>
  <si>
    <t>Kuhmilch 3,4 % RP</t>
  </si>
  <si>
    <t>Fresser 80-220 kg             2,5 Umtriebe/Jahr</t>
  </si>
  <si>
    <t>Harnstoff</t>
  </si>
  <si>
    <t>Kälbermist</t>
  </si>
  <si>
    <t>Stroh (12 % RP2)</t>
  </si>
  <si>
    <t>Bierhefe, flüssig 1</t>
  </si>
  <si>
    <t>Kleegras (Klee:Gras 70:30)</t>
  </si>
  <si>
    <t>Trockenklärschlamm (t)</t>
  </si>
  <si>
    <t>Kuhmilch 3,6 % RP</t>
  </si>
  <si>
    <t>Mastbullen FV 45-700 kg</t>
  </si>
  <si>
    <t>Piamon 33-S</t>
  </si>
  <si>
    <t>Bullenmist</t>
  </si>
  <si>
    <t>Korn (12% RP) + Stroh3</t>
  </si>
  <si>
    <t>0 ,8</t>
  </si>
  <si>
    <t>Biertreber, siliert</t>
  </si>
  <si>
    <t>Luzernegras (Luzerne:Gras 70:30)</t>
  </si>
  <si>
    <t>Stutenmilch</t>
  </si>
  <si>
    <t>Mastbullen FV 125-700 kg</t>
  </si>
  <si>
    <t>Ureas</t>
  </si>
  <si>
    <t>Färsenmist</t>
  </si>
  <si>
    <t>Erbsen (Gemüse)</t>
  </si>
  <si>
    <t>Korn (14 % RP2)</t>
  </si>
  <si>
    <t>CCM2</t>
  </si>
  <si>
    <t>Dungkompost (t)</t>
  </si>
  <si>
    <t>Hühnerei 1 000 Stück (a 62,5 g)</t>
  </si>
  <si>
    <t>Mastbullen 80 - 700 kg</t>
  </si>
  <si>
    <t>Alzon 47</t>
  </si>
  <si>
    <t>Sauenmist; Ferkel 8 kg</t>
  </si>
  <si>
    <t>Kleegras (50:50)</t>
  </si>
  <si>
    <t>Stroh (14 % RP2)</t>
  </si>
  <si>
    <t>Fischmehl</t>
  </si>
  <si>
    <t>Futterzwischenfrüchte</t>
  </si>
  <si>
    <t>Grünkompost (t)</t>
  </si>
  <si>
    <t>Schafwolle</t>
  </si>
  <si>
    <t>Mastbullen 200 - 700 kg, Fresser</t>
  </si>
  <si>
    <t>Ammonnitrat-Harnstoff-Lösung</t>
  </si>
  <si>
    <t>Sauenmist; Ferkel 28 kg</t>
  </si>
  <si>
    <t>Kleegras (70:30)</t>
  </si>
  <si>
    <t>Korn + Stroh3 (124 % RP2)</t>
  </si>
  <si>
    <t>Getreide, GPS1</t>
  </si>
  <si>
    <t>Grassamenvermehrung</t>
  </si>
  <si>
    <t>Klärschlamm, flüssig (m³)</t>
  </si>
  <si>
    <t xml:space="preserve">Mastbullen 45 - 625 kg  </t>
  </si>
  <si>
    <t>Piasan 24-3</t>
  </si>
  <si>
    <t>Sauenmist (RAM); Ferkel 8 kg</t>
  </si>
  <si>
    <t>Korn (16 % RP2)</t>
  </si>
  <si>
    <t>Getreideschlempe, frisch (Weizen)</t>
  </si>
  <si>
    <t>Klärschlamm, stichfest (t)</t>
  </si>
  <si>
    <t>Mastbullen 125 - 625 kg</t>
  </si>
  <si>
    <t>Alzon flüssig</t>
  </si>
  <si>
    <t>Sauenmist (RAM); Ferkel 28 kg</t>
  </si>
  <si>
    <t>Stroh (16 % RP2)</t>
  </si>
  <si>
    <t>Getreideschlempe, getrocknet (Weizen)</t>
  </si>
  <si>
    <t>Champingnonerde (t)</t>
  </si>
  <si>
    <t>Färsenaufzucht 0 - 27 Monate, 580 kg Zuwachs</t>
  </si>
  <si>
    <t>Alzon flüssig - S</t>
  </si>
  <si>
    <t>Ferkelmist</t>
  </si>
  <si>
    <t>Korn + Stroh3 (16 % RP2)</t>
  </si>
  <si>
    <t>Haferschälkleie</t>
  </si>
  <si>
    <t>Nutztiere</t>
  </si>
  <si>
    <t>Färsenaufzucht 5-27 Monate 500 kg Zuwachs</t>
  </si>
  <si>
    <t>N-Düngerlösung mit Schwefel</t>
  </si>
  <si>
    <t>Schweinemist (Mastschweine)</t>
  </si>
  <si>
    <t>Kartoffeleiweiß</t>
  </si>
  <si>
    <t>Rind, milchbetont</t>
  </si>
  <si>
    <t>Färsenaufzucht 0-27 Monate 580 kg Zuwachs</t>
  </si>
  <si>
    <t>Ammoniumthiosulfat (ATS)</t>
  </si>
  <si>
    <t>Schweinemist (Mastschweine RAM)</t>
  </si>
  <si>
    <t>Kartoffelpülpe, siliert</t>
  </si>
  <si>
    <t>Ammonsulfatsalpeter</t>
  </si>
  <si>
    <t>Hähnchenmist</t>
  </si>
  <si>
    <t>Leguminosen-Zwischenfrucht a)</t>
  </si>
  <si>
    <t>Korn + Stroh3 (12 % RP2)</t>
  </si>
  <si>
    <t>Kartoffelschlempe, frisch</t>
  </si>
  <si>
    <t>Entec 26</t>
  </si>
  <si>
    <t>Hühnermist RAM Gudendorf</t>
  </si>
  <si>
    <t>Leguminosen-Zwischenfrucht b)</t>
  </si>
  <si>
    <t>Korn (13 % RP2)</t>
  </si>
  <si>
    <t>Leinextraktionsschrot</t>
  </si>
  <si>
    <t>Schafe</t>
  </si>
  <si>
    <t>Schwefelsaures Ammoniak</t>
  </si>
  <si>
    <t>Hühnertrockenkot</t>
  </si>
  <si>
    <t>Stroh (13 % RP2)</t>
  </si>
  <si>
    <t>Leinkuchen</t>
  </si>
  <si>
    <t>Ziegen</t>
  </si>
  <si>
    <t>Milchleistung 6.000 l/Jahr</t>
  </si>
  <si>
    <t>Kalkstickstoff</t>
  </si>
  <si>
    <t>Hühnertrockenkot (RAM)</t>
  </si>
  <si>
    <t>Korn + Stroh3 (13 % RP2)</t>
  </si>
  <si>
    <t>Luzernegrünmehl</t>
  </si>
  <si>
    <t>Pferde bis 5 Monate</t>
  </si>
  <si>
    <t>Milchleistung 8.000 l/Jahr</t>
  </si>
  <si>
    <t>Perlkalkstickstoff</t>
  </si>
  <si>
    <t>Putenmist</t>
  </si>
  <si>
    <t>Sonstige</t>
  </si>
  <si>
    <t>Korn (11 % RP2)</t>
  </si>
  <si>
    <t>Magermilch, frisch</t>
  </si>
  <si>
    <t>Pferde 5-36 Monate</t>
  </si>
  <si>
    <t>Milchleistung 10.000 l/Jahr</t>
  </si>
  <si>
    <t>N23+Bor</t>
  </si>
  <si>
    <t>Putenmist (RAM)</t>
  </si>
  <si>
    <t>Grünland mit Leg.-Anteil 10 %</t>
  </si>
  <si>
    <t>Stroh (11 % RP2)</t>
  </si>
  <si>
    <t>Maiskeimextraktionsschrot (aus der Stärkeindustrie)</t>
  </si>
  <si>
    <t>Legehennen</t>
  </si>
  <si>
    <t>Pferdemist</t>
  </si>
  <si>
    <t>Grünland mit Leg.-Anteil 20 %</t>
  </si>
  <si>
    <t>Korn + Stroh3 (11 % RP2)</t>
  </si>
  <si>
    <t>0 ,9</t>
  </si>
  <si>
    <t>Maiskleberfutter (23-35 % RP)</t>
  </si>
  <si>
    <t>Masthähnchen</t>
  </si>
  <si>
    <t>Entenmist</t>
  </si>
  <si>
    <t>Grünland mit Leg.-Anteil 30 %</t>
  </si>
  <si>
    <t>Malzkeime</t>
  </si>
  <si>
    <t>Puten</t>
  </si>
  <si>
    <t>Diammonphosphat</t>
  </si>
  <si>
    <t>Gänsemist</t>
  </si>
  <si>
    <t>Grünland mit Leg.-Anteil 40 %</t>
  </si>
  <si>
    <t>Maniok</t>
  </si>
  <si>
    <t>Enten</t>
  </si>
  <si>
    <t>Mutterkuh 0,9 Kälber/Jahr Absetzgew.220kg</t>
  </si>
  <si>
    <t>Monoammonphosphat</t>
  </si>
  <si>
    <t>Schafmist</t>
  </si>
  <si>
    <t>Melasseschnitzel</t>
  </si>
  <si>
    <t>Gänse</t>
  </si>
  <si>
    <t>NP 22+23</t>
  </si>
  <si>
    <t>Putenmist P-reduziert</t>
  </si>
  <si>
    <t>Molke, Permeat</t>
  </si>
  <si>
    <t>Kaninchen</t>
  </si>
  <si>
    <t>Nitrophoska 14+10+20+0+3</t>
  </si>
  <si>
    <t>Pressschnitzel, siliert</t>
  </si>
  <si>
    <t>Gehegewild</t>
  </si>
  <si>
    <t>Nitrophoska 13+9+16+4+7</t>
  </si>
  <si>
    <t>Nitrophoska 20+8+8+3+4</t>
  </si>
  <si>
    <t>* vorgeschlagener Ertrag, wenn Ertrag nicht bekannt ist</t>
  </si>
  <si>
    <t>a) Saatzeit bis 15.08.                                        b) Saatzeit ab 15.08.</t>
  </si>
  <si>
    <t>Rapskuchen, fettarm</t>
  </si>
  <si>
    <t>Nitrophoska perfekt 15+5+20+2+8</t>
  </si>
  <si>
    <r>
      <rPr>
        <b/>
        <sz val="12"/>
        <rFont val="Arial"/>
        <family val="2"/>
      </rPr>
      <t>Gülle und Jauche (kg je m</t>
    </r>
    <r>
      <rPr>
        <b/>
        <sz val="11"/>
        <rFont val="Arial"/>
        <family val="2"/>
      </rPr>
      <t>3)</t>
    </r>
  </si>
  <si>
    <t>Roggengrießkleie</t>
  </si>
  <si>
    <t>Entec perfekt 14+7+17+2+11</t>
  </si>
  <si>
    <t>Roggenkleie</t>
  </si>
  <si>
    <t>Nitrophoska spezial 12+12+17+2+6</t>
  </si>
  <si>
    <t>Kälbergülle</t>
  </si>
  <si>
    <t>Rübenkleinteile</t>
  </si>
  <si>
    <t>Nitroka plus 12+0+18+6+6</t>
  </si>
  <si>
    <t>Bullengülle</t>
  </si>
  <si>
    <t>Sojaextraktionsschrot 48 % RP (HP, aus geschälter Saat)</t>
  </si>
  <si>
    <t>NPK 12+12+17+2+6</t>
  </si>
  <si>
    <t>Färsengülle</t>
  </si>
  <si>
    <t>Sojaextraktionsschrot 44 % RP (aus ungeschälter Saat)</t>
  </si>
  <si>
    <t>NPK 13+13+21+0+2</t>
  </si>
  <si>
    <t>Sauengülle; Ferkel 8 kg</t>
  </si>
  <si>
    <t>Sojaschalen</t>
  </si>
  <si>
    <t>Sauengülle; Ferkel 28 kg</t>
  </si>
  <si>
    <t>Sonnenblumenextraktionsschrot, aus teilgeschälter Saat</t>
  </si>
  <si>
    <t>NPK 15+15+15</t>
  </si>
  <si>
    <t>Sauengülle (RAM); Schwarze</t>
  </si>
  <si>
    <t>Sonnenblumen, GPS2</t>
  </si>
  <si>
    <t>Superphosphat</t>
  </si>
  <si>
    <t>Sauengülle (RAM); Ferkel 28 kg</t>
  </si>
  <si>
    <t>Korn (10 % RP2)</t>
  </si>
  <si>
    <t>Sauermolke, frisch</t>
  </si>
  <si>
    <t>Platz</t>
  </si>
  <si>
    <t>Ferkelgülle</t>
  </si>
  <si>
    <t>Stroh (10 % RP2)</t>
  </si>
  <si>
    <t>Süßmolke, frisch</t>
  </si>
  <si>
    <t>Korn-Kali / Kamex</t>
  </si>
  <si>
    <t>Ferkelgülle RAM</t>
  </si>
  <si>
    <t>Korn + Stroh3 (10 % RP2)</t>
  </si>
  <si>
    <t>Trockenschnitzel</t>
  </si>
  <si>
    <t>40er Kali</t>
  </si>
  <si>
    <t>Schweinegülle (Mast) fl-Futter</t>
  </si>
  <si>
    <t>Vollmilch, frisch</t>
  </si>
  <si>
    <t>Kalimagnesia</t>
  </si>
  <si>
    <t>Schweinegülle (Mast RAM) fl-Futter</t>
  </si>
  <si>
    <t>Weizengrießkleie</t>
  </si>
  <si>
    <t>Magnesia-Kainit</t>
  </si>
  <si>
    <t>Schweinegülle (Mast) fl. 2-phasig</t>
  </si>
  <si>
    <t>Kaliumsulfat</t>
  </si>
  <si>
    <t>Schweinegülle Mast tr-Futter</t>
  </si>
  <si>
    <t>Weizennachmehl</t>
  </si>
  <si>
    <t>Kieserit granuliert</t>
  </si>
  <si>
    <t>Schweinegülle Mast tr-Futter (RAM)</t>
  </si>
  <si>
    <t>Zuckerrübenmelasse</t>
  </si>
  <si>
    <t>Kieserit fein</t>
  </si>
  <si>
    <t>Schweinegülle Mast tr-Futter 2-phasig</t>
  </si>
  <si>
    <t>1 ,1</t>
  </si>
  <si>
    <t>Eigene Futtermittel:</t>
  </si>
  <si>
    <t>Bittersalz</t>
  </si>
  <si>
    <t>Rinderjauche (Milchvieh)</t>
  </si>
  <si>
    <t>Rhe-Ka-Phos 9+25</t>
  </si>
  <si>
    <t>Schweinejauche (Mastschweine)</t>
  </si>
  <si>
    <t>Rhe-Ka-Phos 14+24</t>
  </si>
  <si>
    <t>Schweinegülle Durchschnitt</t>
  </si>
  <si>
    <t>1, 1</t>
  </si>
  <si>
    <t>Rhe-Ka-Phos 20+30</t>
  </si>
  <si>
    <t>Getreide 1 Ganzpflanze</t>
  </si>
  <si>
    <t xml:space="preserve"> je 100 Tiere</t>
  </si>
  <si>
    <t>Rhe-Ka-Phos 10+21+4</t>
  </si>
  <si>
    <t>Schweinegülle Durchschnitt 2-phasig</t>
  </si>
  <si>
    <t>Rhe-Ka-Phos 15+15+4</t>
  </si>
  <si>
    <t xml:space="preserve">Schweinegülle Stickfort </t>
  </si>
  <si>
    <t>PK-Dünger 12+24</t>
  </si>
  <si>
    <t>Mischgülle (Bullen+Sauengülle Schw.</t>
  </si>
  <si>
    <t>1D</t>
  </si>
  <si>
    <t>PK-Dünger 15+20</t>
  </si>
  <si>
    <t>Nährstoffgehalte anderer org. Dünger bei der Landwirtschaftskammer erfragen</t>
  </si>
  <si>
    <t>N  kg/dt</t>
  </si>
  <si>
    <t>PK-Dünger 16+16</t>
  </si>
  <si>
    <t>PK-Dünger 12+19+4</t>
  </si>
  <si>
    <t>PK-Dünger 14+14+4</t>
  </si>
  <si>
    <t>Einjährige Körnerleguminosen</t>
  </si>
  <si>
    <t>Thomaskali 7+21+3</t>
  </si>
  <si>
    <t>Korn (30 % RP2)</t>
  </si>
  <si>
    <t>Thomaskali 10+20+3</t>
  </si>
  <si>
    <t>Stroh (30 % RP2)</t>
  </si>
  <si>
    <t>Thomaskali 12+18+3</t>
  </si>
  <si>
    <t>Korn + Stroh3 (30 % RP2)</t>
  </si>
  <si>
    <t>Thomaskali 10+15+3</t>
  </si>
  <si>
    <t>Korn (26 % RP2)</t>
  </si>
  <si>
    <t>Thomaskali 8+15+6</t>
  </si>
  <si>
    <t>Stroh (26 % RP2)</t>
  </si>
  <si>
    <t>Thomaskali 11+11+4</t>
  </si>
  <si>
    <t>Korn + Stroh3 (26 % RP2)</t>
  </si>
  <si>
    <t>Thomaskali 14+8+4</t>
  </si>
  <si>
    <t>Korn (33 % RP2)</t>
  </si>
  <si>
    <t>Quelle: Staudacher und Potthast (2014), DLG-Futterwerttabellen, Schweine.</t>
  </si>
  <si>
    <t>patent-PK 12+15+5</t>
  </si>
  <si>
    <t>Stroh (33 % RP2)</t>
  </si>
  <si>
    <t>1 Quelle: Landesanstalt für Landwirtschaft Bayern, eigene Untersuchungen.</t>
  </si>
  <si>
    <t>Kohlensaurer Kalk 85</t>
  </si>
  <si>
    <t>Korn + Stroh3 (33 % RP2)</t>
  </si>
  <si>
    <t>2 Quelle: BMEL-UAG Datengrundlagen.</t>
  </si>
  <si>
    <t>Kohlensaurer Kalk 50+35</t>
  </si>
  <si>
    <t>Korn (32 % RP2)</t>
  </si>
  <si>
    <t>Branntkalk 85</t>
  </si>
  <si>
    <t>Stroh (32 % RP2)</t>
  </si>
  <si>
    <t>Konverterkalk</t>
  </si>
  <si>
    <t>Korn + Stroh3 (32 % RP2)</t>
  </si>
  <si>
    <t>Konverterkalk feucht körnig</t>
  </si>
  <si>
    <t>Ölfrüchte</t>
  </si>
  <si>
    <t>Hüttenkalk fein</t>
  </si>
  <si>
    <t>Korn (23 % RP2)</t>
  </si>
  <si>
    <t>Hüttenkalk gekörnt</t>
  </si>
  <si>
    <t>Stroh (23 % RP2)</t>
  </si>
  <si>
    <t>Thomaskalk 4</t>
  </si>
  <si>
    <t>Korn + Stroh3 (23 % RP2)</t>
  </si>
  <si>
    <t>Carbokalk 45</t>
  </si>
  <si>
    <t>Korn (20 % RP2)</t>
  </si>
  <si>
    <t>Stroh (20 % RP2)</t>
  </si>
  <si>
    <t>Korn + Stroh3 (20 % RP2)</t>
  </si>
  <si>
    <t>2D</t>
  </si>
  <si>
    <t>Korn</t>
  </si>
  <si>
    <t>Stroh</t>
  </si>
  <si>
    <t>Korn + Stroh3</t>
  </si>
  <si>
    <t>1 ,5</t>
  </si>
  <si>
    <t>Faserpflanzen</t>
  </si>
  <si>
    <t>Flachs (Faserlein) Ganzpflanze</t>
  </si>
  <si>
    <t>Ganzpflanze</t>
  </si>
  <si>
    <t>Hanf (100-150 dt/ha TM) Ganzpflanze</t>
  </si>
  <si>
    <t>Miscanthus Ganzpflanze</t>
  </si>
  <si>
    <t>(150-200 dt/ha TM)</t>
  </si>
  <si>
    <t>Hackfrüchte</t>
  </si>
  <si>
    <t>Knolle</t>
  </si>
  <si>
    <t>Kraut</t>
  </si>
  <si>
    <t>Knolle + Kraut3</t>
  </si>
  <si>
    <t>0 ,2</t>
  </si>
  <si>
    <t>Rübe</t>
  </si>
  <si>
    <t>Blatt</t>
  </si>
  <si>
    <t>Rübe + Blatt3</t>
  </si>
  <si>
    <t>Rübe+ Blatt3</t>
  </si>
  <si>
    <t>Futterpflanzen</t>
  </si>
  <si>
    <t>Rotklee Ganzpflanze</t>
  </si>
  <si>
    <t>Luzerne Ganzpflanze</t>
  </si>
  <si>
    <t>Kleegras Ganzpflanze</t>
  </si>
  <si>
    <t>Luzernegras Ganzpflanze</t>
  </si>
  <si>
    <t>Weidelgras (Ackergras) Ganzpflanze</t>
  </si>
  <si>
    <t>Futterzwischenfrüchte Ganzpflanze</t>
  </si>
  <si>
    <t>Vermehrungspflanzen</t>
  </si>
  <si>
    <r>
      <rPr>
        <sz val="10"/>
        <rFont val="Arial"/>
        <family val="2"/>
      </rPr>
      <t xml:space="preserve">1) bzw. Trockenkot bei Legehennen und Kaninchen; </t>
    </r>
    <r>
      <rPr>
        <b/>
        <sz val="10"/>
        <rFont val="Arial"/>
        <family val="2"/>
      </rPr>
      <t>Nährstoffgehalte der Einstreu bleiben bei Festmist unberücksichtigt!</t>
    </r>
  </si>
  <si>
    <t>Samen</t>
  </si>
  <si>
    <t>2) Futter für tragende und Futter für laktierende Sauen;   **RAM-Futter: N und P reduziert nach RAM-Standard</t>
  </si>
  <si>
    <t>Samen + Stroh3</t>
  </si>
  <si>
    <t>1 4,20</t>
  </si>
  <si>
    <t>8D</t>
  </si>
  <si>
    <t>Grünland</t>
  </si>
  <si>
    <t>Grünland 1 Nutzung (40 dt/ha TM) Ganzpflanze</t>
  </si>
  <si>
    <t>Grünland 2 Nutzungen (55 dt/ha TM) Ganzpflanze</t>
  </si>
  <si>
    <t>Grünland 3 Nutzungen (80 dt/ha TM) Ganzpflanze</t>
  </si>
  <si>
    <t>Grünland 4 Nutzungen (90 dt/ha TM) Ganzpflanze</t>
  </si>
  <si>
    <t>Nährstoffgehalte pflanzlicher Erzeugnisse aus Ackerkulturen                                               Nährstoffgehalte von Gemüsekulturen und Erdbeeren</t>
  </si>
  <si>
    <t>N/100dt FM1 Ganzpflanze</t>
  </si>
  <si>
    <t>kg N /dt FM 1</t>
  </si>
  <si>
    <t>kg P2O5 / dt FM1</t>
  </si>
  <si>
    <t>kg P / dt FM 1</t>
  </si>
  <si>
    <t>Blumenkohl</t>
  </si>
  <si>
    <t>Brokkoli</t>
  </si>
  <si>
    <t>Buschbohne</t>
  </si>
  <si>
    <t>Chicoree</t>
  </si>
  <si>
    <t>Chinakohl</t>
  </si>
  <si>
    <t>Dill, Frischmarkt</t>
  </si>
  <si>
    <t>Dill, Industrieware</t>
  </si>
  <si>
    <t>Erdbeeren</t>
  </si>
  <si>
    <t>Feldsalat</t>
  </si>
  <si>
    <t>Feldsalat, großblättrig</t>
  </si>
  <si>
    <t>Gemüseerbse</t>
  </si>
  <si>
    <t>Grünkohl</t>
  </si>
  <si>
    <t>Gurke, Einleger</t>
  </si>
  <si>
    <t>Knollenfenchel</t>
  </si>
  <si>
    <t>Kohlrabi</t>
  </si>
  <si>
    <t>Kohlrübe</t>
  </si>
  <si>
    <t>Kürbis</t>
  </si>
  <si>
    <t>Mairüben (mit Laub)</t>
  </si>
  <si>
    <t>Möhre, Bund-</t>
  </si>
  <si>
    <t>Möhre, Industrie</t>
  </si>
  <si>
    <t>Möhre, Wasch-</t>
  </si>
  <si>
    <t>Pastinake</t>
  </si>
  <si>
    <t>Petersilie, Blatt-, bis 1. Schnitt</t>
  </si>
  <si>
    <t>Petersilie, Blatt-, nach einem Schnitt</t>
  </si>
  <si>
    <t>Petersilie, Wurzel-</t>
  </si>
  <si>
    <t>Porree</t>
  </si>
  <si>
    <t>Radies</t>
  </si>
  <si>
    <t>Rettich, Bund-</t>
  </si>
  <si>
    <t>Rettich, deutsch</t>
  </si>
  <si>
    <t>Rettich, japanisch</t>
  </si>
  <si>
    <t>Rhabarber ab Ertragsbeginn</t>
  </si>
  <si>
    <t>Rosenkohl</t>
  </si>
  <si>
    <t>Rote Rüben</t>
  </si>
  <si>
    <t>Rotkohl</t>
  </si>
  <si>
    <t>Rucola, Feinware</t>
  </si>
  <si>
    <t>Rucola, Grobware</t>
  </si>
  <si>
    <t>Salate, Baby Leaf Lettuce</t>
  </si>
  <si>
    <t>Salate, Blatt-, grün (Lollo, Eichblatt, Krul)</t>
  </si>
  <si>
    <t>Salate, Blatt-, rot (Lollo, Eichblatt, Krul)</t>
  </si>
  <si>
    <t>Salate, Eissalat</t>
  </si>
  <si>
    <t>Salate, Endivien, Frisee</t>
  </si>
  <si>
    <t>Salate, Endivien, glattblättrig</t>
  </si>
  <si>
    <t>Salate, Kopfsalat</t>
  </si>
  <si>
    <t>Salate, Radicchio</t>
  </si>
  <si>
    <t>Salate, verschiedene Arten</t>
  </si>
  <si>
    <t>Salate, Romana</t>
  </si>
  <si>
    <t>Salate, Romana Herzen</t>
  </si>
  <si>
    <t>Salate, Zuckerhut</t>
  </si>
  <si>
    <t>Schnittlauch, gesät, bis</t>
  </si>
  <si>
    <t>1. Schnitt</t>
  </si>
  <si>
    <t>Schnittlauch, gesät, nach einem Schnitt</t>
  </si>
  <si>
    <t>Schnittlauch, Anbau für Treiberei</t>
  </si>
  <si>
    <t>Schwarzwurzel</t>
  </si>
  <si>
    <t>Sellerie, Bund-</t>
  </si>
  <si>
    <t>Sellerie, Knollen-</t>
  </si>
  <si>
    <t>Sellerie, Stangen-</t>
  </si>
  <si>
    <t>Spargel ab Ertragsbeginn</t>
  </si>
  <si>
    <t>Spinat, Blatt-, FM, Baby</t>
  </si>
  <si>
    <t>Spinat, Blatt-, Standard</t>
  </si>
  <si>
    <t>Stangenbohne, Standard</t>
  </si>
  <si>
    <t>Teltower Rübchen (Herbst- anbau)</t>
  </si>
  <si>
    <t>Weißkohl, Frischmarkt</t>
  </si>
  <si>
    <t>Weißkohl, Industrie</t>
  </si>
  <si>
    <t>Wirsing</t>
  </si>
  <si>
    <t>Zucchini</t>
  </si>
  <si>
    <t>Zuckermais</t>
  </si>
  <si>
    <t>Zwiebel, Bund­</t>
  </si>
  <si>
    <t>Zwiebel, Trocken-</t>
  </si>
  <si>
    <t>1 FM = Frischmasse.</t>
  </si>
  <si>
    <t>Jährliche betriebliche Stoffstrombilanz für Stickstoff (N)</t>
  </si>
  <si>
    <t>1.</t>
  </si>
  <si>
    <t>Eindeutige Bezeichnung des Betriebes</t>
  </si>
  <si>
    <t>Betriebsnummer:</t>
  </si>
  <si>
    <t>2.</t>
  </si>
  <si>
    <t>Landwirtschaftlich genutzte Fläche des Betriebes in ha</t>
  </si>
  <si>
    <t>3.</t>
  </si>
  <si>
    <t>Anzahl der im Betrieb gehaltenen Großvieheinheiten in GV</t>
  </si>
  <si>
    <t>Anzahl der im Betrieb gehaltenen Großvieheinh. in GV</t>
  </si>
  <si>
    <t>4.</t>
  </si>
  <si>
    <t>Tierbesatzdichte im Betrieb in GV je ha</t>
  </si>
  <si>
    <t>5.</t>
  </si>
  <si>
    <t>Beginn des nach § 3 Absatz 2 Satz3 festgelegten Bezugsjahres</t>
  </si>
  <si>
    <t>Beginn des nach § 3 Abs 2 Satz3 festgel. Bezugs-Zeitraum</t>
  </si>
  <si>
    <t>6.</t>
  </si>
  <si>
    <t>Ende des nach § 3 Absatz 2 Satz3 festgelegten Bezugsjahres</t>
  </si>
  <si>
    <t>Ende des nach § 3 Abs.2 Satz3 festgel.Bezugs-Zeitraum</t>
  </si>
  <si>
    <t>7.</t>
  </si>
  <si>
    <t>Datum der Erstellung</t>
  </si>
  <si>
    <t>Nährstoffe
in kg</t>
  </si>
  <si>
    <t>Abgabe</t>
  </si>
  <si>
    <t>Düngemittel insgesamt</t>
  </si>
  <si>
    <t>Pflanzliche Erzeugnisse</t>
  </si>
  <si>
    <t xml:space="preserve">     davon Wirtschaftsdünger tierischer Herkunft</t>
  </si>
  <si>
    <t xml:space="preserve">     davon mineralische/organische Düngemittel</t>
  </si>
  <si>
    <t>Bodenhilfsstoffe</t>
  </si>
  <si>
    <t>Saatgut einschließlich Pflanzgut und Vermehrungsmaterial</t>
  </si>
  <si>
    <t>Landwirtschaftliche Nutztiere</t>
  </si>
  <si>
    <t>Stickstoffzufuhr durch Leguminosen</t>
  </si>
  <si>
    <t>Sonstige Stoffe</t>
  </si>
  <si>
    <r>
      <rPr>
        <b/>
        <sz val="10"/>
        <rFont val="Arial"/>
        <family val="2"/>
      </rPr>
      <t>Summe der Nährstoffzufuhr</t>
    </r>
    <r>
      <rPr>
        <sz val="10"/>
        <rFont val="Arial"/>
        <family val="2"/>
      </rPr>
      <t xml:space="preserve"> je Betrieb in kg Nährstoff aus Zeilen 1 und 4 bis 11</t>
    </r>
  </si>
  <si>
    <r>
      <rPr>
        <b/>
        <sz val="10"/>
        <rFont val="Arial"/>
        <family val="2"/>
      </rPr>
      <t>Summe der Nährstoffabgabe</t>
    </r>
    <r>
      <rPr>
        <sz val="10"/>
        <rFont val="Arial"/>
        <family val="2"/>
      </rPr>
      <t xml:space="preserve"> je Betrieb in kg Nährstoff aus Zeilen 1 bis 3 und 6 bis 12</t>
    </r>
  </si>
  <si>
    <r>
      <rPr>
        <b/>
        <sz val="10"/>
        <rFont val="Arial"/>
        <family val="2"/>
      </rPr>
      <t>Summe der Nährstoffzufuhr</t>
    </r>
    <r>
      <rPr>
        <sz val="10"/>
        <rFont val="Arial"/>
        <family val="2"/>
      </rPr>
      <t xml:space="preserve"> je Betrieb in kg Nährstoff pro ha</t>
    </r>
  </si>
  <si>
    <r>
      <rPr>
        <b/>
        <sz val="10"/>
        <rFont val="Arial"/>
        <family val="2"/>
      </rPr>
      <t>Summe der Nährstoffabgabe</t>
    </r>
    <r>
      <rPr>
        <sz val="10"/>
        <rFont val="Arial"/>
        <family val="2"/>
      </rPr>
      <t xml:space="preserve"> je Betrieb in kg Nährstoff pro ha</t>
    </r>
  </si>
  <si>
    <r>
      <rPr>
        <b/>
        <sz val="10"/>
        <rFont val="Arial"/>
        <family val="2"/>
      </rPr>
      <t>Differenz</t>
    </r>
    <r>
      <rPr>
        <sz val="10"/>
        <rFont val="Arial"/>
        <family val="2"/>
      </rPr>
      <t xml:space="preserve"> zwischen Nährstoffzufuhr und Nährstoffabgabe in kg </t>
    </r>
    <r>
      <rPr>
        <b/>
        <sz val="10"/>
        <rFont val="Arial"/>
        <family val="2"/>
      </rPr>
      <t>Nährstoff je Betrieb</t>
    </r>
  </si>
  <si>
    <r>
      <rPr>
        <b/>
        <sz val="10"/>
        <rFont val="Arial"/>
        <family val="2"/>
      </rPr>
      <t>Differenz</t>
    </r>
    <r>
      <rPr>
        <sz val="10"/>
        <rFont val="Arial"/>
        <family val="2"/>
      </rPr>
      <t xml:space="preserve"> zwischen Nährstoffzufuhr und Nährstoffabgabe in kg </t>
    </r>
    <r>
      <rPr>
        <b/>
        <sz val="10"/>
        <rFont val="Arial"/>
        <family val="2"/>
      </rPr>
      <t>Nährstoff je ha</t>
    </r>
  </si>
  <si>
    <r>
      <rPr>
        <b/>
        <sz val="10"/>
        <rFont val="Arial"/>
        <family val="2"/>
      </rPr>
      <t>Stickstoffdeposition</t>
    </r>
    <r>
      <rPr>
        <sz val="10"/>
        <rFont val="Arial"/>
        <family val="2"/>
      </rPr>
      <t xml:space="preserve"> im Betrieb über den Luftpfad in kg N je Hektar</t>
    </r>
  </si>
  <si>
    <t>Die Stickstoffdeposition ist auf der Grundlage des letzten gültigen Hintergrundbelastungsdatensatzes Stickstoff-                            deposition des Umweltbundesamtes (http://gis.uba.de/webseite/depo1) am Betriebssitz zu ermitteln.</t>
  </si>
  <si>
    <t>Alle Angaben müssen vollständig und richtig sein.</t>
  </si>
  <si>
    <t>Alle Angaben müssen auf Richtigkeit überprüft sein</t>
  </si>
  <si>
    <t>Jährliche betriebliche Stoffstrombilanz für Phosphor (P) / Phosphat (P2O5)</t>
  </si>
  <si>
    <t>Nährstoff 
in kg</t>
  </si>
  <si>
    <t xml:space="preserve">     davon sonstige mineralische Düngemittel</t>
  </si>
  <si>
    <t xml:space="preserve">     davon sonstige organische Düngemittel</t>
  </si>
  <si>
    <t>Dreijährige betriebliche Stoffstrombilanz 
gleitende Mittelwerte für Stickstoff und Phosphor</t>
  </si>
  <si>
    <t>Betriebsnummer</t>
  </si>
  <si>
    <t>Stickstoff in kg je Betrieb</t>
  </si>
  <si>
    <t>Phosphor / Phosphat in kg je Betrieb</t>
  </si>
  <si>
    <t>Differenz / ha</t>
  </si>
  <si>
    <t>Zulässiger Bilanzwert1</t>
  </si>
  <si>
    <t>Zulässiger Bilanzwert / ha</t>
  </si>
  <si>
    <t>Überschreit-ung
Bilanzwert (abs.)</t>
  </si>
  <si>
    <t>Überschreitung
Bilanzwert (rel.)</t>
  </si>
  <si>
    <t>Bezugsjahr</t>
  </si>
  <si>
    <t>LF (ha)</t>
  </si>
  <si>
    <t>Differenz</t>
  </si>
  <si>
    <t>1. Bezugsjahr</t>
  </si>
  <si>
    <t>2. Bezugsjahr</t>
  </si>
  <si>
    <t>3. Bezugsjahr</t>
  </si>
  <si>
    <t>Betriebsdurchschnitt</t>
  </si>
  <si>
    <t>Berechnung der Großvieheinheiten (GVE)</t>
  </si>
  <si>
    <t>Tierart</t>
  </si>
  <si>
    <t>GV- Schlüssel</t>
  </si>
  <si>
    <t>Anzahl der Tiere</t>
  </si>
  <si>
    <t>Großvieh-einheiten</t>
  </si>
  <si>
    <t>(1)</t>
  </si>
  <si>
    <t>(2)</t>
  </si>
  <si>
    <t>(3)</t>
  </si>
  <si>
    <t>(4)</t>
  </si>
  <si>
    <t>Kälber unter 6 Monate</t>
  </si>
  <si>
    <t>Jungrinder 6 Monate bis unter 1 Jahr alt</t>
  </si>
  <si>
    <t>-</t>
  </si>
  <si>
    <t>davon männlich</t>
  </si>
  <si>
    <t xml:space="preserve">         weiblich</t>
  </si>
  <si>
    <t>Rinder 1 Jahr bis unter 2 Jahre</t>
  </si>
  <si>
    <t xml:space="preserve">         weiblich zum Schlachten</t>
  </si>
  <si>
    <t xml:space="preserve">         weibliche Zucht- u. Nutztiere</t>
  </si>
  <si>
    <t>Rinder 2 Jahre und älter</t>
  </si>
  <si>
    <t>davon Bullen und Ochsen</t>
  </si>
  <si>
    <t xml:space="preserve">         Schlachtfärsen</t>
  </si>
  <si>
    <t xml:space="preserve">         Zucht- und Nutzfärsen</t>
  </si>
  <si>
    <t xml:space="preserve">         Milchkühe</t>
  </si>
  <si>
    <t xml:space="preserve">         Ammen- und Mutterkühe</t>
  </si>
  <si>
    <t xml:space="preserve">         Schlacht- und Mastkühe</t>
  </si>
  <si>
    <t>Rinder gesamt</t>
  </si>
  <si>
    <t>Schafe unter 1 Jahr alt</t>
  </si>
  <si>
    <t>Schafe 1 Jahr und älter</t>
  </si>
  <si>
    <t>davon weibliche Schafe zur Zucht</t>
  </si>
  <si>
    <t>Schafböcke zur Zucht</t>
  </si>
  <si>
    <t>Hammel und übrige Schafe</t>
  </si>
  <si>
    <t>Schafe gesamt</t>
  </si>
  <si>
    <t>Ponys und Kleinpferde</t>
  </si>
  <si>
    <t>andere Pferde</t>
  </si>
  <si>
    <t>davon unter 1 Jahr alt</t>
  </si>
  <si>
    <t xml:space="preserve">          1 bis unter 3 Jahre alt</t>
  </si>
  <si>
    <t xml:space="preserve">          3 bis unter 14 Jahre alt</t>
  </si>
  <si>
    <t xml:space="preserve">          14 Jahre und älter</t>
  </si>
  <si>
    <t>Pferde gesamt</t>
  </si>
  <si>
    <t xml:space="preserve">Ferkel </t>
  </si>
  <si>
    <t>Jungschweine &lt; 50 kg</t>
  </si>
  <si>
    <t xml:space="preserve">Mastschweine </t>
  </si>
  <si>
    <t>davon 50 bis unter 80 kg</t>
  </si>
  <si>
    <t xml:space="preserve">         80 bis unter 110 kg</t>
  </si>
  <si>
    <t xml:space="preserve">         110 und mehr kg</t>
  </si>
  <si>
    <t xml:space="preserve">Zuchtschweine </t>
  </si>
  <si>
    <t>davon Eber zur Zucht</t>
  </si>
  <si>
    <t xml:space="preserve">         Jungsauen zum 1.Mal trächtig</t>
  </si>
  <si>
    <t xml:space="preserve">         andere trächtige Sauen</t>
  </si>
  <si>
    <t xml:space="preserve">         Jungsauen noch nicht trächtig</t>
  </si>
  <si>
    <t xml:space="preserve">         andere nicht trächtige Sauen</t>
  </si>
  <si>
    <t>Schweine gesamt</t>
  </si>
  <si>
    <t>Hühner</t>
  </si>
  <si>
    <t>davon Legehennen 1/2 Jahr und älter</t>
  </si>
  <si>
    <t xml:space="preserve">         Junghennen unter 1/2 Jahr alt</t>
  </si>
  <si>
    <t>Schlacht- und Masthähne u. -hühner sowie sonstige Hähne</t>
  </si>
  <si>
    <t>sonstiges Geflügel</t>
  </si>
  <si>
    <t>Truthühner</t>
  </si>
  <si>
    <t>Geflügel gesamt</t>
  </si>
  <si>
    <t>GV insgesamt</t>
  </si>
  <si>
    <t xml:space="preserve">Landwirtschaftlich genutzte Fläche </t>
  </si>
  <si>
    <t>Besatz je ha LF</t>
  </si>
  <si>
    <t>Gesamtbetriebliche Stoffstrombilanzierung</t>
  </si>
  <si>
    <t xml:space="preserve">von Heinrich - Bernhard Münzebrock, Vördenerstr. 9A </t>
  </si>
  <si>
    <t>49434 Neuenkirchen-Vörden, Tel. Nr.: 0160/96674116</t>
  </si>
  <si>
    <t>E-mail:HBM49434@t-online.de</t>
  </si>
  <si>
    <t>Dieses Nährstoff-Berechnungsmodell darf bis auf Widerruf verwendet aber nicht kopiert</t>
  </si>
  <si>
    <t xml:space="preserve">oder verkauft werden. </t>
  </si>
  <si>
    <t>Ausfüllanleitung:</t>
  </si>
  <si>
    <t xml:space="preserve">Füllen Sie die Tabellenblätter "Betrieb, Eingabebereich" sorgfältig und gewissenhaft </t>
  </si>
  <si>
    <t>nacheinander aus. Beachten Sie dabei, dass nur die weiss unterlegten Bereiche Eingabefelder sind.</t>
  </si>
  <si>
    <t>Alle Angaben in diesen Bereichen werden per "Drag and Drop" aufgerufen. Sie gehen in das ent-</t>
  </si>
  <si>
    <t>sprechende Eingabefeld. Mit der Maus auf dieses Feld klicken dann sehen Sie einen Pfeil nach Unten.</t>
  </si>
  <si>
    <t xml:space="preserve">Auf den Pfeil klicken und auswählen. Alle anderen Felder sind mit Formeln belegt und für die Eingabe gesperrt. </t>
  </si>
  <si>
    <r>
      <rPr>
        <b/>
        <sz val="10"/>
        <rFont val="Arial"/>
        <family val="2"/>
      </rPr>
      <t>Das Blatt Daten:</t>
    </r>
    <r>
      <rPr>
        <sz val="10"/>
        <rFont val="Arial"/>
        <family val="2"/>
      </rPr>
      <t xml:space="preserve"> Alle wichtigen Grunddaten sind in diesem Blatt vorhanden. Auch hier gilt: Alle </t>
    </r>
  </si>
  <si>
    <t>weiss unterlegten Bereiche sind Eingabefelder. Bitte seien Sie bei der Änderung oder beim Neuan-</t>
  </si>
  <si>
    <t>legen der Datensätze sehr vorsichtig und gewissenhaft. Alle Daten beruhen auf die Stoffstromverordnung</t>
  </si>
  <si>
    <t>von 2017.</t>
  </si>
  <si>
    <t>Hinweise:</t>
  </si>
  <si>
    <t>Dieses Programm ermittelt gemäß Ihrer Angaben automatisch relevante Werte für Ihre Stoffstrombilanz. Bitte prüfen und ergänzen Sie die Einträge!</t>
  </si>
  <si>
    <t>Relevant für die Bilanz sind immer nur Mengen, die den Betrieb verlassen oder dem Betrieb zugeführt werden.</t>
  </si>
  <si>
    <t>Wiederkehrende identische Zugänge oder Abgänge können Sie zusammenfassen. Sie ermitteln die Durchschnittswerte und tragen Sie ein.</t>
  </si>
  <si>
    <t>Bitte prüfen Sie bei Pflanzliche Erzeugnisse, ob das Erntegut vollständig verkauft wurde, oder Sie ggf. noch Lagerbestände aus dem Vorjahr aufgelöst haben und passen Sie die Werte entsprechend an</t>
  </si>
  <si>
    <t>Bei Saat- bzw. Pflanzgut aus eigenem Anbau darf das verwendete Erntegut nicht als Abgabe doppelt gezählt werden.</t>
  </si>
  <si>
    <t>Im Blatt "dreijähriger Mittelwert" ergänzen Sie bitte, wenn vorhanden, die fehlenden Daten in den weiss hinterlegten Eingabefeldern. Werte aus dem aktuellen Bezugsjahr werden automatisch hinterlegt. Der dreijährige Mittelwert für Stickstoff darf 175 kg N / ha nicht überschreiten. Darüberliegende Werte werden sanktioniert.</t>
  </si>
  <si>
    <t>1 von 3</t>
  </si>
  <si>
    <t>Düngeplanung</t>
  </si>
  <si>
    <t xml:space="preserve">Die Düngeplanung kann, da  keine Versorgungsstufen für Phosphor, Kali und MGO </t>
  </si>
  <si>
    <t>angegeben sind, nur für die Nährstoffaufnahme der Pflanzen (Entzug) gelten</t>
  </si>
  <si>
    <t xml:space="preserve">In der Düngeempfehlung werden alle Daten aus dem Bereich Daten entnommen. </t>
  </si>
  <si>
    <t xml:space="preserve">Bitte beachten Sie, daß N/Min und Humuswerte nicht berücksichtigt werden, da diese </t>
  </si>
  <si>
    <t>von Schlag zu Schlag variieren können.</t>
  </si>
  <si>
    <t>Auf den Seiten1 u. 2 können Sie die Art der Düngung mit Wirtschaftsdünger und/oder</t>
  </si>
  <si>
    <t>Mineraldünger angeben. 3 Düngegaben sind vorgesehen. NachdemSie die Aufwandmenge eingegeben</t>
  </si>
  <si>
    <t>haben, wird Ihnen in der Zwischenbilanz und/oder Endbilanz die fehlende Nährstoffmenge in rot</t>
  </si>
  <si>
    <t>angezeigt. Bei einer Überdüngung wird der Wert in schwarz dargestellt.</t>
  </si>
  <si>
    <t>Datenausdruck:</t>
  </si>
  <si>
    <t>Sie können aus dieser Arbeitsmappe einzelne Bereiche-  oder auch alle   Blätter ausdrucken.</t>
  </si>
  <si>
    <t>Um einen einzelnen Bereich auszudrucken, gehen Sie in das entsprechende Blatt.</t>
  </si>
  <si>
    <t>Dann drücken Sie auf den Link „Datei“ und klicken auf „Seitenansicht“. Jetzt nocheinmal ein Klick</t>
  </si>
  <si>
    <t>auf den Link „Datei“ und auf „Drucken“. Unter Druckbereich finden Sie zwei Kästchen. Sie wählen</t>
  </si>
  <si>
    <t>das Kästchen neben „Seiten“ und geben die entsprechenden Seitennummer(n) für Ihren gewählten</t>
  </si>
  <si>
    <t>Bereich an. Noch ein Klick auf  „OK“, und er Druck erfolgt (wenn Sie Papier eingelegt haben).</t>
  </si>
  <si>
    <t>Alle Blätter der Arbeitsmappe ausdrucken ist ganz einfach. Sie gehen mit der Maus auf den Link „Datei“</t>
  </si>
  <si>
    <t>und wählen „Drucken“. Jetzt noch ein Klick auf „OK“ und schon kann der Druck beginnen.</t>
  </si>
  <si>
    <t>Beurteilung der Bilanzergebnisse</t>
  </si>
  <si>
    <t>Die Einschätzung bzw. Beurteilung des N-Saldos ist besonders schwierig. Die „tolerierbaren</t>
  </si>
  <si>
    <t>bzw. unvermeidlichen Verluste" sind im wesentlichen standortbedingt. Bei günstigen Verhältnissen</t>
  </si>
  <si>
    <t>(wüchsiges Wetter) müssen diese jedoch nicht auftreten.</t>
  </si>
  <si>
    <t>Die Gratwanderung zwischen notwendiger Düngung aus pflanzenbaulicher Sicht und zu-</t>
  </si>
  <si>
    <t>lässiger Düngung aus ökologischer Sicht (Grundwasserschutz) ist sehr schwierig.</t>
  </si>
  <si>
    <t xml:space="preserve">Bilanzsalden (korrigierter N-Saldo) von - 30 kg bis + 20 kg N/ha sind optimal. Positive Stick- </t>
  </si>
  <si>
    <t>stoff-Salden bis zu + 40 kg/ha können aus pflanzenbaulicher Sicht unter bestimmten Um-</t>
  </si>
  <si>
    <t>ständen notwendig sein, z.B. bei stauender Nässe oder verdichteten Böden.</t>
  </si>
  <si>
    <t>Positive Stickstoff-Salden über 40 kg je ha sind jedoch nicht zu tolerieren. Hier müssen Änd-</t>
  </si>
  <si>
    <t xml:space="preserve">erungen in der Wirtschaftsweise überlegt werden. </t>
  </si>
  <si>
    <t>2 von 3</t>
  </si>
  <si>
    <t>Der Phosphat-Saldo sollte (bei Versorgungsstufe C des Bodens = 11 - 25 mg P2O5) im wesent-</t>
  </si>
  <si>
    <t>lichen ausgeglichen sein (± 20 kg).</t>
  </si>
  <si>
    <t>Probleme treten meist bei Schweine- und Geflügelhaltung auf. Hier ist vor allem bei Zukauf-</t>
  </si>
  <si>
    <t>dünger und der Fütterung (Phasenfütterung) anzusetzen, um Verbesserungen herbeizuführen.</t>
  </si>
  <si>
    <t>Kali</t>
  </si>
  <si>
    <t xml:space="preserve">Der Kali-Saldo sollte ebenfalls in etwa ausgeglichen sein (± 50 kg). Lediglich auf </t>
  </si>
  <si>
    <t>Böden, die meist in Flußniederungen auftreten, kann ein höherer Kali-Saldo sinnvoll</t>
  </si>
  <si>
    <t xml:space="preserve">sein. Das gleiche gilt für sandige Böden, auf denen es zu Auswaschung kommt. Die Bedeutung </t>
  </si>
  <si>
    <t>für die Umwelt ist derzeit nur wenig bekannt.</t>
  </si>
  <si>
    <t>Die Werte der Bilanz können jedoch nur so genau sein wie die eingesetzten Daten. Kommen</t>
  </si>
  <si>
    <t>völlig unrealistische Zahlen zustande, ist die Datengrundlage nochmals zu überprüfen. Die ange-</t>
  </si>
  <si>
    <t>gebenen Werte sind immer Durchschnittswerte und entsprechen damit meist der Wirklichkeit,</t>
  </si>
  <si>
    <t>können jedoch in speziellen Einzelfällen abweichen.</t>
  </si>
  <si>
    <t>H.B.M.</t>
  </si>
  <si>
    <t>PS: Ich hoffe, dass Ihnen diese Arbeitsmappe gefällt, und Ihnen hilfreich ist.</t>
  </si>
  <si>
    <t>Bei Fragen und Anregungen, schreiben Sie mir, oder rufen mich an.</t>
  </si>
  <si>
    <t>kg / dt  Trockenmasse</t>
  </si>
  <si>
    <t>Silomais 35% Ganzpflanze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</si>
</sst>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Red]0"/>
    <numFmt numFmtId="165" formatCode="0.0000"/>
    <numFmt numFmtId="166" formatCode="d/m/yyyy"/>
    <numFmt numFmtId="167" formatCode="0,000"/>
    <numFmt numFmtId="168" formatCode="0.0000&quot; ha&quot;"/>
    <numFmt numFmtId="169" formatCode="0.0"/>
    <numFmt numFmtId="170" formatCode="#,##0\ _€"/>
    <numFmt numFmtId="171" formatCode="\.000"/>
    <numFmt numFmtId="172" formatCode="0.0&quot;  &quot;"/>
    <numFmt numFmtId="173" formatCode="#,##0.00&quot; €&quot;;\-#,##0.00&quot; €&quot;"/>
    <numFmt numFmtId="174" formatCode="0\ "/>
    <numFmt numFmtId="175" formatCode="0&quot;  &quot;"/>
    <numFmt numFmtId="176" formatCode="0&quot; %&quot;"/>
    <numFmt numFmtId="177" formatCode="0&quot;        &quot;"/>
    <numFmt numFmtId="178" formatCode="dd&quot;/ &quot;mmm"/>
    <numFmt numFmtId="179" formatCode="0&quot;   &quot;"/>
    <numFmt numFmtId="180" formatCode="0.00&quot;     &quot;"/>
    <numFmt numFmtId="181" formatCode="0.00&quot;  &quot;"/>
    <numFmt numFmtId="182" formatCode="0.000"/>
    <numFmt numFmtId="183" formatCode="_-* #,##0\ _€_-;\-* #,##0\ _€_-;_-* &quot;- &quot;_€_-;_-@_-"/>
    <numFmt numFmtId="184" formatCode="m/d/yyyy"/>
    <numFmt numFmtId="185" formatCode="#,##0.0"/>
  </numFmts>
  <fonts count="65" x14ac:knownFonts="1">
    <font>
      <sz val="10"/>
      <name val="Arial"/>
      <family val="2"/>
    </font>
    <font>
      <sz val="10"/>
      <name val="Arial"/>
      <family val="2"/>
    </font>
    <font>
      <u/>
      <sz val="10"/>
      <color rgb="FF0000FF"/>
      <name val="Arial"/>
      <family val="2"/>
    </font>
    <font>
      <b/>
      <sz val="11"/>
      <color rgb="FF333399"/>
      <name val="Calibri"/>
      <family val="2"/>
    </font>
    <font>
      <sz val="10"/>
      <color rgb="FF000000"/>
      <name val="Arial"/>
      <family val="2"/>
    </font>
    <font>
      <shadow/>
      <sz val="16"/>
      <color rgb="FF000000"/>
      <name val="Arial"/>
      <family val="2"/>
    </font>
    <font>
      <shadow/>
      <sz val="10"/>
      <color rgb="FF000000"/>
      <name val="Arial"/>
      <family val="2"/>
    </font>
    <font>
      <b/>
      <shadow/>
      <sz val="18"/>
      <color rgb="FF000000"/>
      <name val="Arial"/>
      <family val="2"/>
    </font>
    <font>
      <b/>
      <sz val="16"/>
      <color rgb="FF000000"/>
      <name val="Arial"/>
      <family val="2"/>
    </font>
    <font>
      <shadow/>
      <sz val="9"/>
      <color rgb="FF000000"/>
      <name val="Arial"/>
      <family val="2"/>
    </font>
    <font>
      <b/>
      <sz val="14"/>
      <color rgb="FF000000"/>
      <name val="Arial"/>
      <family val="2"/>
    </font>
    <font>
      <b/>
      <sz val="14"/>
      <name val="Arial"/>
      <family val="2"/>
    </font>
    <font>
      <b/>
      <shadow/>
      <sz val="12"/>
      <color rgb="FF000000"/>
      <name val="Arial"/>
      <family val="2"/>
    </font>
    <font>
      <b/>
      <shadow/>
      <sz val="14"/>
      <color rgb="FF000000"/>
      <name val="Arial"/>
      <family val="2"/>
    </font>
    <font>
      <sz val="9"/>
      <color rgb="FFFF0000"/>
      <name val="Arial"/>
      <family val="2"/>
    </font>
    <font>
      <sz val="18"/>
      <color rgb="FFFF0000"/>
      <name val="Arial"/>
      <family val="2"/>
    </font>
    <font>
      <b/>
      <sz val="13"/>
      <color rgb="FF000000"/>
      <name val="Arial"/>
      <family val="2"/>
    </font>
    <font>
      <sz val="10"/>
      <color rgb="FFFF0000"/>
      <name val="Arial"/>
      <family val="2"/>
    </font>
    <font>
      <b/>
      <sz val="11"/>
      <color rgb="FFFF0000"/>
      <name val="Arial"/>
      <family val="2"/>
    </font>
    <font>
      <b/>
      <sz val="10"/>
      <color rgb="FF000000"/>
      <name val="Arial"/>
      <family val="2"/>
    </font>
    <font>
      <b/>
      <sz val="9"/>
      <color rgb="FF000000"/>
      <name val="Tahoma"/>
      <family val="2"/>
    </font>
    <font>
      <sz val="9"/>
      <color rgb="FF000000"/>
      <name val="Tahoma"/>
      <family val="2"/>
    </font>
    <font>
      <b/>
      <sz val="18"/>
      <color rgb="FFFF0000"/>
      <name val="Arial"/>
      <family val="2"/>
    </font>
    <font>
      <sz val="14"/>
      <color rgb="FFFFFFFF"/>
      <name val="Arial Rounded MT Bold"/>
      <family val="2"/>
    </font>
    <font>
      <sz val="12"/>
      <color rgb="FFFFFFFF"/>
      <name val="Arial Rounded MT Bold"/>
      <family val="2"/>
    </font>
    <font>
      <sz val="10"/>
      <color rgb="FFFFFFFF"/>
      <name val="Arial"/>
      <family val="2"/>
    </font>
    <font>
      <sz val="14"/>
      <color rgb="FF000000"/>
      <name val="Arial Black"/>
      <family val="2"/>
    </font>
    <font>
      <b/>
      <sz val="14"/>
      <color rgb="FFFFFFFF"/>
      <name val="Arial"/>
      <family val="2"/>
    </font>
    <font>
      <b/>
      <sz val="15"/>
      <color rgb="FF000000"/>
      <name val="Arial"/>
      <family val="2"/>
    </font>
    <font>
      <b/>
      <sz val="13"/>
      <name val="Arial"/>
      <family val="2"/>
    </font>
    <font>
      <b/>
      <sz val="11"/>
      <color rgb="FF000000"/>
      <name val="Arial"/>
      <family val="2"/>
    </font>
    <font>
      <b/>
      <sz val="10"/>
      <color rgb="FFFF0000"/>
      <name val="Arial"/>
      <family val="2"/>
    </font>
    <font>
      <i/>
      <sz val="10"/>
      <color rgb="FF0000FF"/>
      <name val="Arial"/>
      <family val="2"/>
    </font>
    <font>
      <b/>
      <sz val="12"/>
      <color rgb="FF000000"/>
      <name val="Arial"/>
      <family val="2"/>
    </font>
    <font>
      <b/>
      <sz val="10"/>
      <name val="Arial"/>
      <family val="2"/>
    </font>
    <font>
      <sz val="8"/>
      <color rgb="FF000000"/>
      <name val="Arial"/>
      <family val="2"/>
    </font>
    <font>
      <b/>
      <sz val="10"/>
      <color rgb="FF000000"/>
      <name val="Arial Rounded MT Bold"/>
    </font>
    <font>
      <sz val="11"/>
      <name val="Arial"/>
      <family val="2"/>
    </font>
    <font>
      <b/>
      <sz val="10.5"/>
      <name val="Arial"/>
      <family val="2"/>
    </font>
    <font>
      <sz val="10.5"/>
      <name val="Arial"/>
      <family val="2"/>
    </font>
    <font>
      <b/>
      <sz val="8"/>
      <color rgb="FF000000"/>
      <name val="Arial"/>
      <family val="2"/>
    </font>
    <font>
      <b/>
      <sz val="11"/>
      <name val="Arial"/>
      <family val="2"/>
    </font>
    <font>
      <sz val="10"/>
      <color rgb="FFB3B300"/>
      <name val="Arial"/>
      <family val="2"/>
    </font>
    <font>
      <b/>
      <sz val="12"/>
      <name val="Arial"/>
      <family val="2"/>
    </font>
    <font>
      <sz val="8"/>
      <name val="Arial"/>
      <family val="2"/>
    </font>
    <font>
      <sz val="9"/>
      <name val="Arial"/>
      <family val="2"/>
    </font>
    <font>
      <b/>
      <sz val="10.5"/>
      <color rgb="FF000000"/>
      <name val="Arial"/>
      <family val="2"/>
    </font>
    <font>
      <i/>
      <sz val="12"/>
      <name val="Arial"/>
      <family val="2"/>
    </font>
    <font>
      <i/>
      <sz val="11"/>
      <name val="Arial"/>
      <family val="2"/>
    </font>
    <font>
      <sz val="11"/>
      <color rgb="FF000000"/>
      <name val="Arial"/>
      <family val="2"/>
    </font>
    <font>
      <sz val="12"/>
      <color rgb="FF000000"/>
      <name val="Arial"/>
      <family val="2"/>
    </font>
    <font>
      <i/>
      <sz val="10"/>
      <name val="Arial"/>
      <family val="2"/>
    </font>
    <font>
      <b/>
      <u/>
      <sz val="11"/>
      <color rgb="FF000000"/>
      <name val="Arial"/>
      <family val="2"/>
    </font>
    <font>
      <sz val="10.5"/>
      <color rgb="FF000000"/>
      <name val="Arial"/>
      <family val="2"/>
    </font>
    <font>
      <b/>
      <sz val="8.5"/>
      <color rgb="FFFF0000"/>
      <name val="Arial"/>
      <family val="2"/>
    </font>
    <font>
      <sz val="9"/>
      <color rgb="FF000000"/>
      <name val="Arial"/>
      <family val="2"/>
    </font>
    <font>
      <sz val="12"/>
      <name val="Arial"/>
      <family val="2"/>
    </font>
    <font>
      <b/>
      <sz val="18"/>
      <name val="Arial"/>
      <family val="2"/>
    </font>
    <font>
      <sz val="14"/>
      <color rgb="FF000000"/>
      <name val="Arial"/>
      <family val="2"/>
    </font>
    <font>
      <sz val="16"/>
      <color rgb="FF000000"/>
      <name val="Arial"/>
      <family val="2"/>
    </font>
    <font>
      <sz val="10"/>
      <color rgb="FF0000FF"/>
      <name val="Arial"/>
      <family val="2"/>
    </font>
    <font>
      <b/>
      <u/>
      <sz val="11"/>
      <name val="Arial"/>
      <family val="2"/>
    </font>
    <font>
      <b/>
      <u/>
      <sz val="10"/>
      <color rgb="FF000000"/>
      <name val="Arial"/>
      <family val="2"/>
    </font>
    <font>
      <sz val="9"/>
      <color indexed="81"/>
      <name val="Segoe UI"/>
      <family val="2"/>
    </font>
    <font>
      <b/>
      <sz val="9"/>
      <color indexed="81"/>
      <name val="Segoe UI"/>
      <family val="2"/>
    </font>
  </fonts>
  <fills count="19">
    <fill>
      <patternFill patternType="none"/>
    </fill>
    <fill>
      <patternFill patternType="gray125"/>
    </fill>
    <fill>
      <patternFill patternType="solid">
        <fgColor rgb="FFE6E6E6"/>
        <bgColor rgb="FFEEEEEE"/>
      </patternFill>
    </fill>
    <fill>
      <patternFill patternType="solid">
        <fgColor rgb="FFF8DEAD"/>
        <bgColor rgb="FFFFCC99"/>
      </patternFill>
    </fill>
    <fill>
      <patternFill patternType="solid">
        <fgColor rgb="FFCCFFFF"/>
        <bgColor rgb="FFEDEEFF"/>
      </patternFill>
    </fill>
    <fill>
      <patternFill patternType="solid">
        <fgColor rgb="FF99D9CD"/>
        <bgColor rgb="FF99CCFF"/>
      </patternFill>
    </fill>
    <fill>
      <patternFill patternType="solid">
        <fgColor rgb="FF99CCFF"/>
        <bgColor rgb="FF99D9CD"/>
      </patternFill>
    </fill>
    <fill>
      <patternFill patternType="solid">
        <fgColor rgb="FFEEEEEE"/>
        <bgColor rgb="FFEDEEFF"/>
      </patternFill>
    </fill>
    <fill>
      <patternFill patternType="solid">
        <fgColor rgb="FFFFCC99"/>
        <bgColor rgb="FFF8DEAD"/>
      </patternFill>
    </fill>
    <fill>
      <patternFill patternType="solid">
        <fgColor rgb="FFADFF7F"/>
        <bgColor rgb="FFB7DFA0"/>
      </patternFill>
    </fill>
    <fill>
      <patternFill patternType="solid">
        <fgColor rgb="FFFFFF99"/>
        <bgColor rgb="FFFFFF66"/>
      </patternFill>
    </fill>
    <fill>
      <patternFill patternType="solid">
        <fgColor rgb="FFFFFFCC"/>
        <bgColor rgb="FFFFFFFF"/>
      </patternFill>
    </fill>
    <fill>
      <patternFill patternType="solid">
        <fgColor rgb="FFFFFFFF"/>
        <bgColor rgb="FFEDEEFF"/>
      </patternFill>
    </fill>
    <fill>
      <patternFill patternType="solid">
        <fgColor rgb="FF280099"/>
        <bgColor rgb="FF000080"/>
      </patternFill>
    </fill>
    <fill>
      <patternFill patternType="solid">
        <fgColor rgb="FFEDEEFF"/>
        <bgColor rgb="FFEEEEEE"/>
      </patternFill>
    </fill>
    <fill>
      <patternFill patternType="solid">
        <fgColor rgb="FF00FF00"/>
        <bgColor rgb="FF33CCCC"/>
      </patternFill>
    </fill>
    <fill>
      <patternFill patternType="solid">
        <fgColor rgb="FFFFFF66"/>
        <bgColor rgb="FFFFFF99"/>
      </patternFill>
    </fill>
    <fill>
      <patternFill patternType="solid">
        <fgColor rgb="FFD7D7D7"/>
        <bgColor rgb="FFCCCCCC"/>
      </patternFill>
    </fill>
    <fill>
      <patternFill patternType="solid">
        <fgColor rgb="FFB7DFA0"/>
        <bgColor rgb="FF99D9CD"/>
      </patternFill>
    </fill>
  </fills>
  <borders count="14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double">
        <color auto="1"/>
      </left>
      <right style="double">
        <color auto="1"/>
      </right>
      <top style="double">
        <color auto="1"/>
      </top>
      <bottom style="double">
        <color auto="1"/>
      </bottom>
      <diagonal/>
    </border>
    <border>
      <left/>
      <right style="thin">
        <color auto="1"/>
      </right>
      <top/>
      <bottom/>
      <diagonal/>
    </border>
    <border>
      <left/>
      <right/>
      <top style="double">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double">
        <color auto="1"/>
      </top>
      <bottom style="double">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top/>
      <bottom/>
      <diagonal/>
    </border>
    <border>
      <left/>
      <right style="double">
        <color auto="1"/>
      </right>
      <top/>
      <bottom/>
      <diagonal/>
    </border>
    <border>
      <left style="double">
        <color auto="1"/>
      </left>
      <right/>
      <top style="thin">
        <color auto="1"/>
      </top>
      <bottom/>
      <diagonal/>
    </border>
    <border>
      <left style="thin">
        <color auto="1"/>
      </left>
      <right style="hair">
        <color auto="1"/>
      </right>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style="hair">
        <color auto="1"/>
      </left>
      <right style="double">
        <color auto="1"/>
      </right>
      <top/>
      <bottom style="thin">
        <color auto="1"/>
      </bottom>
      <diagonal/>
    </border>
    <border>
      <left style="double">
        <color auto="1"/>
      </left>
      <right/>
      <top/>
      <bottom style="thin">
        <color auto="1"/>
      </bottom>
      <diagonal/>
    </border>
    <border>
      <left style="thin">
        <color auto="1"/>
      </left>
      <right style="hair">
        <color rgb="FFFF0000"/>
      </right>
      <top style="thin">
        <color auto="1"/>
      </top>
      <bottom/>
      <diagonal/>
    </border>
    <border>
      <left style="hair">
        <color rgb="FFFF0000"/>
      </left>
      <right style="hair">
        <color rgb="FFFF0000"/>
      </right>
      <top style="thin">
        <color auto="1"/>
      </top>
      <bottom/>
      <diagonal/>
    </border>
    <border>
      <left style="hair">
        <color rgb="FFFF0000"/>
      </left>
      <right style="hair">
        <color auto="1"/>
      </right>
      <top style="thin">
        <color auto="1"/>
      </top>
      <bottom/>
      <diagonal/>
    </border>
    <border>
      <left style="hair">
        <color auto="1"/>
      </left>
      <right style="hair">
        <color auto="1"/>
      </right>
      <top/>
      <bottom/>
      <diagonal/>
    </border>
    <border>
      <left style="hair">
        <color auto="1"/>
      </left>
      <right style="double">
        <color auto="1"/>
      </right>
      <top/>
      <bottom/>
      <diagonal/>
    </border>
    <border>
      <left style="double">
        <color auto="1"/>
      </left>
      <right/>
      <top/>
      <bottom/>
      <diagonal/>
    </border>
    <border>
      <left style="hair">
        <color rgb="FFFF0000"/>
      </left>
      <right style="hair">
        <color rgb="FFFF0000"/>
      </right>
      <top/>
      <bottom/>
      <diagonal/>
    </border>
    <border>
      <left style="hair">
        <color rgb="FFFF0000"/>
      </left>
      <right style="hair">
        <color auto="1"/>
      </right>
      <top/>
      <bottom/>
      <diagonal/>
    </border>
    <border>
      <left style="thin">
        <color auto="1"/>
      </left>
      <right/>
      <top/>
      <bottom style="hair">
        <color auto="1"/>
      </bottom>
      <diagonal/>
    </border>
    <border>
      <left style="hair">
        <color rgb="FFFF0000"/>
      </left>
      <right style="hair">
        <color rgb="FFFF0000"/>
      </right>
      <top/>
      <bottom style="hair">
        <color auto="1"/>
      </bottom>
      <diagonal/>
    </border>
    <border>
      <left style="hair">
        <color rgb="FFFF0000"/>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top/>
      <bottom style="hair">
        <color auto="1"/>
      </bottom>
      <diagonal/>
    </border>
    <border>
      <left style="hair">
        <color rgb="FFFF0000"/>
      </left>
      <right style="hair">
        <color rgb="FFFF0000"/>
      </right>
      <top/>
      <bottom style="thin">
        <color auto="1"/>
      </bottom>
      <diagonal/>
    </border>
    <border>
      <left style="hair">
        <color rgb="FFFF0000"/>
      </left>
      <right style="hair">
        <color auto="1"/>
      </right>
      <top/>
      <bottom style="thin">
        <color auto="1"/>
      </bottom>
      <diagonal/>
    </border>
    <border>
      <left style="hair">
        <color rgb="FFFF0000"/>
      </left>
      <right style="thin">
        <color auto="1"/>
      </right>
      <top style="thin">
        <color auto="1"/>
      </top>
      <bottom/>
      <diagonal/>
    </border>
    <border>
      <left style="hair">
        <color auto="1"/>
      </left>
      <right/>
      <top style="thin">
        <color auto="1"/>
      </top>
      <bottom/>
      <diagonal/>
    </border>
    <border>
      <left style="hair">
        <color rgb="FFFF0000"/>
      </left>
      <right/>
      <top/>
      <bottom/>
      <diagonal/>
    </border>
    <border>
      <left style="double">
        <color auto="1"/>
      </left>
      <right style="hair">
        <color auto="1"/>
      </right>
      <top style="thin">
        <color auto="1"/>
      </top>
      <bottom/>
      <diagonal/>
    </border>
    <border>
      <left style="hair">
        <color auto="1"/>
      </left>
      <right style="thin">
        <color auto="1"/>
      </right>
      <top/>
      <bottom/>
      <diagonal/>
    </border>
    <border>
      <left style="thin">
        <color auto="1"/>
      </left>
      <right style="hair">
        <color auto="1"/>
      </right>
      <top/>
      <bottom/>
      <diagonal/>
    </border>
    <border>
      <left style="double">
        <color auto="1"/>
      </left>
      <right style="hair">
        <color auto="1"/>
      </right>
      <top/>
      <bottom/>
      <diagonal/>
    </border>
    <border>
      <left style="hair">
        <color rgb="FFFF0000"/>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double">
        <color auto="1"/>
      </left>
      <right style="hair">
        <color auto="1"/>
      </right>
      <top/>
      <bottom style="hair">
        <color auto="1"/>
      </bottom>
      <diagonal/>
    </border>
    <border>
      <left style="hair">
        <color auto="1"/>
      </left>
      <right style="thin">
        <color auto="1"/>
      </right>
      <top/>
      <bottom style="hair">
        <color auto="1"/>
      </bottom>
      <diagonal/>
    </border>
    <border>
      <left style="hair">
        <color rgb="FFFF0000"/>
      </left>
      <right/>
      <top/>
      <bottom style="thin">
        <color auto="1"/>
      </bottom>
      <diagonal/>
    </border>
    <border>
      <left style="double">
        <color auto="1"/>
      </left>
      <right style="hair">
        <color auto="1"/>
      </right>
      <top/>
      <bottom style="thin">
        <color auto="1"/>
      </bottom>
      <diagonal/>
    </border>
    <border>
      <left style="hair">
        <color auto="1"/>
      </left>
      <right style="thin">
        <color auto="1"/>
      </right>
      <top/>
      <bottom style="thin">
        <color auto="1"/>
      </bottom>
      <diagonal/>
    </border>
    <border>
      <left/>
      <right/>
      <top/>
      <bottom style="hair">
        <color auto="1"/>
      </bottom>
      <diagonal/>
    </border>
    <border>
      <left style="thin">
        <color auto="1"/>
      </left>
      <right/>
      <top style="hair">
        <color auto="1"/>
      </top>
      <bottom/>
      <diagonal/>
    </border>
    <border>
      <left/>
      <right style="hair">
        <color auto="1"/>
      </right>
      <top/>
      <bottom/>
      <diagonal/>
    </border>
    <border>
      <left/>
      <right style="hair">
        <color auto="1"/>
      </right>
      <top/>
      <bottom style="hair">
        <color auto="1"/>
      </bottom>
      <diagonal/>
    </border>
    <border>
      <left/>
      <right style="double">
        <color auto="1"/>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right style="hair">
        <color auto="1"/>
      </right>
      <top style="thin">
        <color auto="1"/>
      </top>
      <bottom/>
      <diagonal/>
    </border>
    <border>
      <left style="thin">
        <color auto="1"/>
      </left>
      <right style="hair">
        <color rgb="FFFF0000"/>
      </right>
      <top/>
      <bottom/>
      <diagonal/>
    </border>
    <border>
      <left style="thin">
        <color auto="1"/>
      </left>
      <right style="hair">
        <color rgb="FFFF0000"/>
      </right>
      <top/>
      <bottom style="thin">
        <color auto="1"/>
      </bottom>
      <diagonal/>
    </border>
    <border>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rgb="FFFF0000"/>
      </right>
      <top style="thin">
        <color auto="1"/>
      </top>
      <bottom/>
      <diagonal/>
    </border>
    <border>
      <left style="hair">
        <color auto="1"/>
      </left>
      <right style="hair">
        <color rgb="FFFF0000"/>
      </right>
      <top/>
      <bottom/>
      <diagonal/>
    </border>
    <border>
      <left style="hair">
        <color auto="1"/>
      </left>
      <right style="hair">
        <color rgb="FFFF0000"/>
      </right>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double">
        <color auto="1"/>
      </right>
      <top style="thin">
        <color auto="1"/>
      </top>
      <bottom/>
      <diagonal/>
    </border>
    <border>
      <left style="thin">
        <color auto="1"/>
      </left>
      <right style="thin">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auto="1"/>
      </bottom>
      <diagonal/>
    </border>
    <border>
      <left style="thin">
        <color auto="1"/>
      </left>
      <right/>
      <top/>
      <bottom style="double">
        <color auto="1"/>
      </bottom>
      <diagonal/>
    </border>
    <border>
      <left/>
      <right/>
      <top/>
      <bottom style="double">
        <color auto="1"/>
      </bottom>
      <diagonal/>
    </border>
    <border>
      <left style="double">
        <color auto="1"/>
      </left>
      <right style="double">
        <color auto="1"/>
      </right>
      <top style="thin">
        <color auto="1"/>
      </top>
      <bottom style="double">
        <color auto="1"/>
      </bottom>
      <diagonal/>
    </border>
    <border>
      <left style="thin">
        <color auto="1"/>
      </left>
      <right style="thin">
        <color auto="1"/>
      </right>
      <top/>
      <bottom style="hair">
        <color auto="1"/>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double">
        <color auto="1"/>
      </bottom>
      <diagonal/>
    </border>
    <border>
      <left/>
      <right style="thin">
        <color auto="1"/>
      </right>
      <top style="hair">
        <color auto="1"/>
      </top>
      <bottom style="double">
        <color auto="1"/>
      </bottom>
      <diagonal/>
    </border>
    <border>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style="thin">
        <color auto="1"/>
      </right>
      <top style="double">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double">
        <color auto="1"/>
      </bottom>
      <diagonal/>
    </border>
    <border>
      <left style="thin">
        <color auto="1"/>
      </left>
      <right style="hair">
        <color auto="1"/>
      </right>
      <top style="hair">
        <color auto="1"/>
      </top>
      <bottom style="double">
        <color auto="1"/>
      </bottom>
      <diagonal/>
    </border>
    <border>
      <left/>
      <right style="thin">
        <color auto="1"/>
      </right>
      <top style="double">
        <color auto="1"/>
      </top>
      <bottom style="hair">
        <color auto="1"/>
      </bottom>
      <diagonal/>
    </border>
    <border>
      <left style="thin">
        <color auto="1"/>
      </left>
      <right/>
      <top style="double">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thin">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style="hair">
        <color auto="1"/>
      </top>
      <bottom style="hair">
        <color auto="1"/>
      </bottom>
      <diagonal/>
    </border>
    <border>
      <left/>
      <right/>
      <top style="hair">
        <color auto="1"/>
      </top>
      <bottom style="thin">
        <color auto="1"/>
      </bottom>
      <diagonal/>
    </border>
    <border>
      <left/>
      <right/>
      <top style="hair">
        <color auto="1"/>
      </top>
      <bottom/>
      <diagonal/>
    </border>
    <border>
      <left style="thin">
        <color auto="1"/>
      </left>
      <right style="double">
        <color auto="1"/>
      </right>
      <top/>
      <bottom style="thin">
        <color auto="1"/>
      </bottom>
      <diagonal/>
    </border>
    <border>
      <left style="hair">
        <color rgb="FFFF0000"/>
      </left>
      <right/>
      <top style="thin">
        <color auto="1"/>
      </top>
      <bottom style="hair">
        <color rgb="FFFF0000"/>
      </bottom>
      <diagonal/>
    </border>
    <border>
      <left style="double">
        <color auto="1"/>
      </left>
      <right style="hair">
        <color rgb="FFFF0000"/>
      </right>
      <top style="thin">
        <color auto="1"/>
      </top>
      <bottom style="hair">
        <color rgb="FFFF0000"/>
      </bottom>
      <diagonal/>
    </border>
    <border>
      <left style="hair">
        <color rgb="FFFF0000"/>
      </left>
      <right/>
      <top style="hair">
        <color rgb="FFFF0000"/>
      </top>
      <bottom style="thin">
        <color auto="1"/>
      </bottom>
      <diagonal/>
    </border>
    <border>
      <left style="double">
        <color auto="1"/>
      </left>
      <right style="hair">
        <color rgb="FFFF0000"/>
      </right>
      <top style="hair">
        <color rgb="FFFF0000"/>
      </top>
      <bottom style="thin">
        <color auto="1"/>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hair">
        <color rgb="FFFF0000"/>
      </top>
      <bottom style="hair">
        <color rgb="FFFF0000"/>
      </bottom>
      <diagonal/>
    </border>
    <border>
      <left style="thin">
        <color auto="1"/>
      </left>
      <right style="thin">
        <color auto="1"/>
      </right>
      <top style="thin">
        <color auto="1"/>
      </top>
      <bottom style="double">
        <color auto="1"/>
      </bottom>
      <diagonal/>
    </border>
    <border>
      <left style="thin">
        <color auto="1"/>
      </left>
      <right style="hair">
        <color rgb="FFFF0000"/>
      </right>
      <top style="thin">
        <color auto="1"/>
      </top>
      <bottom style="hair">
        <color rgb="FFFF0000"/>
      </bottom>
      <diagonal/>
    </border>
    <border>
      <left style="thin">
        <color auto="1"/>
      </left>
      <right style="hair">
        <color rgb="FFFF0000"/>
      </right>
      <top style="hair">
        <color rgb="FFFF0000"/>
      </top>
      <bottom style="thin">
        <color auto="1"/>
      </bottom>
      <diagonal/>
    </border>
  </borders>
  <cellStyleXfs count="3">
    <xf numFmtId="0" fontId="0" fillId="0" borderId="0"/>
    <xf numFmtId="0" fontId="2" fillId="0" borderId="0" applyAlignment="0" applyProtection="0"/>
    <xf numFmtId="0" fontId="3" fillId="0" borderId="0" applyBorder="0" applyAlignment="0" applyProtection="0"/>
  </cellStyleXfs>
  <cellXfs count="1075">
    <xf numFmtId="0" fontId="0" fillId="0" borderId="0" xfId="0"/>
    <xf numFmtId="0" fontId="29" fillId="5" borderId="15" xfId="0" applyFont="1" applyFill="1" applyBorder="1" applyAlignment="1" applyProtection="1">
      <alignment horizontal="center" vertical="center"/>
      <protection hidden="1"/>
    </xf>
    <xf numFmtId="164" fontId="10" fillId="12" borderId="5" xfId="0" applyNumberFormat="1" applyFont="1" applyFill="1" applyBorder="1" applyAlignment="1" applyProtection="1">
      <alignment horizontal="center" vertical="center"/>
      <protection locked="0"/>
    </xf>
    <xf numFmtId="170" fontId="38" fillId="5" borderId="2" xfId="0" applyNumberFormat="1" applyFont="1" applyFill="1" applyBorder="1" applyAlignment="1" applyProtection="1">
      <alignment horizontal="right" vertical="center"/>
      <protection hidden="1"/>
    </xf>
    <xf numFmtId="0" fontId="19" fillId="5" borderId="18" xfId="0" applyFont="1" applyFill="1" applyBorder="1" applyAlignment="1" applyProtection="1">
      <alignment horizontal="center"/>
      <protection hidden="1"/>
    </xf>
    <xf numFmtId="0" fontId="19" fillId="5" borderId="29" xfId="0" applyFont="1" applyFill="1" applyBorder="1" applyAlignment="1" applyProtection="1">
      <alignment horizontal="center"/>
      <protection hidden="1"/>
    </xf>
    <xf numFmtId="167" fontId="38" fillId="5" borderId="2" xfId="0" applyNumberFormat="1" applyFont="1" applyFill="1" applyBorder="1" applyAlignment="1" applyProtection="1">
      <alignment horizontal="right" vertical="center"/>
      <protection hidden="1"/>
    </xf>
    <xf numFmtId="167" fontId="38" fillId="5" borderId="27" xfId="0" applyNumberFormat="1" applyFont="1" applyFill="1" applyBorder="1" applyAlignment="1" applyProtection="1">
      <alignment horizontal="right" vertical="center"/>
      <protection hidden="1"/>
    </xf>
    <xf numFmtId="0" fontId="0" fillId="12" borderId="12" xfId="0" applyFill="1" applyBorder="1" applyAlignment="1" applyProtection="1">
      <alignment horizontal="left" vertical="center"/>
      <protection locked="0"/>
    </xf>
    <xf numFmtId="167" fontId="19" fillId="12" borderId="49" xfId="0" applyNumberFormat="1" applyFont="1" applyFill="1" applyBorder="1" applyAlignment="1" applyProtection="1">
      <alignment horizontal="right" vertical="center"/>
      <protection locked="0"/>
    </xf>
    <xf numFmtId="0" fontId="0" fillId="12" borderId="34" xfId="0" applyFill="1" applyBorder="1" applyAlignment="1" applyProtection="1">
      <alignment horizontal="left" vertical="center"/>
      <protection locked="0"/>
    </xf>
    <xf numFmtId="0" fontId="0" fillId="12" borderId="4" xfId="0" applyFill="1" applyBorder="1" applyAlignment="1" applyProtection="1">
      <alignment horizontal="left" vertical="center"/>
      <protection locked="0"/>
    </xf>
    <xf numFmtId="167" fontId="19" fillId="12" borderId="44" xfId="0" applyNumberFormat="1" applyFont="1" applyFill="1" applyBorder="1" applyAlignment="1" applyProtection="1">
      <alignment horizontal="right" vertical="center"/>
      <protection locked="0"/>
    </xf>
    <xf numFmtId="0" fontId="4" fillId="12" borderId="34" xfId="0" applyFont="1" applyFill="1" applyBorder="1" applyAlignment="1" applyProtection="1">
      <alignment horizontal="left" vertical="center"/>
      <protection locked="0"/>
    </xf>
    <xf numFmtId="0" fontId="19" fillId="14" borderId="43" xfId="0" applyFont="1" applyFill="1" applyBorder="1" applyAlignment="1" applyProtection="1">
      <alignment horizontal="center"/>
      <protection hidden="1"/>
    </xf>
    <xf numFmtId="0" fontId="4" fillId="12" borderId="12" xfId="0" applyFont="1" applyFill="1" applyBorder="1" applyAlignment="1" applyProtection="1">
      <alignment horizontal="left" vertical="center"/>
      <protection locked="0"/>
    </xf>
    <xf numFmtId="0" fontId="4" fillId="12" borderId="4" xfId="0" applyFont="1" applyFill="1" applyBorder="1" applyAlignment="1" applyProtection="1">
      <alignment horizontal="left" vertical="center"/>
      <protection locked="0"/>
    </xf>
    <xf numFmtId="0" fontId="0" fillId="13" borderId="0" xfId="0" applyFill="1" applyAlignment="1" applyProtection="1">
      <alignment horizontal="center"/>
      <protection hidden="1"/>
    </xf>
    <xf numFmtId="0" fontId="4" fillId="0" borderId="0" xfId="0" applyFont="1"/>
    <xf numFmtId="0" fontId="4" fillId="12" borderId="0" xfId="0" applyFont="1" applyFill="1"/>
    <xf numFmtId="0" fontId="4" fillId="13" borderId="0" xfId="0" applyFont="1" applyFill="1"/>
    <xf numFmtId="0" fontId="0" fillId="13" borderId="0" xfId="0" applyFill="1"/>
    <xf numFmtId="0" fontId="0" fillId="7" borderId="0" xfId="0" applyFill="1"/>
    <xf numFmtId="0" fontId="4" fillId="7" borderId="0" xfId="0" applyFont="1" applyFill="1"/>
    <xf numFmtId="0" fontId="5" fillId="7" borderId="0" xfId="0" applyFont="1" applyFill="1"/>
    <xf numFmtId="0" fontId="6" fillId="7" borderId="0" xfId="0" applyFont="1" applyFill="1"/>
    <xf numFmtId="0" fontId="0" fillId="7" borderId="1" xfId="0" applyFill="1" applyBorder="1"/>
    <xf numFmtId="0" fontId="5" fillId="7" borderId="2" xfId="0" applyFont="1" applyFill="1" applyBorder="1"/>
    <xf numFmtId="0" fontId="6" fillId="7" borderId="2" xfId="0" applyFont="1" applyFill="1" applyBorder="1"/>
    <xf numFmtId="0" fontId="0" fillId="7" borderId="3" xfId="0" applyFill="1" applyBorder="1"/>
    <xf numFmtId="0" fontId="0" fillId="7" borderId="4" xfId="0" applyFill="1" applyBorder="1"/>
    <xf numFmtId="0" fontId="0" fillId="7" borderId="6" xfId="0" applyFill="1" applyBorder="1"/>
    <xf numFmtId="0" fontId="8" fillId="7" borderId="4" xfId="0" applyFont="1" applyFill="1" applyBorder="1"/>
    <xf numFmtId="0" fontId="12" fillId="7" borderId="4" xfId="0" applyFont="1" applyFill="1" applyBorder="1"/>
    <xf numFmtId="0" fontId="15" fillId="7" borderId="4" xfId="0" applyFont="1" applyFill="1" applyBorder="1" applyAlignment="1" applyProtection="1">
      <alignment horizontal="right" vertical="center"/>
      <protection hidden="1"/>
    </xf>
    <xf numFmtId="0" fontId="16" fillId="7" borderId="9" xfId="0" applyFont="1" applyFill="1" applyBorder="1" applyAlignment="1">
      <alignment horizontal="center" vertical="center"/>
    </xf>
    <xf numFmtId="0" fontId="16" fillId="7" borderId="0" xfId="0" applyFont="1" applyFill="1" applyAlignment="1">
      <alignment horizontal="center" vertical="center"/>
    </xf>
    <xf numFmtId="49" fontId="10" fillId="7" borderId="0" xfId="0" applyNumberFormat="1" applyFont="1" applyFill="1" applyAlignment="1" applyProtection="1">
      <alignment horizontal="center" vertical="center"/>
      <protection locked="0"/>
    </xf>
    <xf numFmtId="0" fontId="17" fillId="7" borderId="4" xfId="0" applyFont="1" applyFill="1" applyBorder="1" applyAlignment="1" applyProtection="1">
      <alignment horizontal="right" vertical="center"/>
      <protection hidden="1"/>
    </xf>
    <xf numFmtId="0" fontId="10" fillId="7" borderId="9" xfId="0" applyFont="1" applyFill="1" applyBorder="1" applyAlignment="1">
      <alignment horizontal="center" vertical="center"/>
    </xf>
    <xf numFmtId="0" fontId="0" fillId="7" borderId="4" xfId="0" applyFill="1" applyBorder="1" applyProtection="1">
      <protection hidden="1"/>
    </xf>
    <xf numFmtId="0" fontId="18" fillId="7" borderId="0" xfId="0" applyFont="1" applyFill="1" applyAlignment="1">
      <alignment horizontal="center" vertical="center"/>
    </xf>
    <xf numFmtId="0" fontId="4" fillId="7" borderId="0" xfId="0" applyFont="1" applyFill="1" applyAlignment="1">
      <alignment horizontal="center"/>
    </xf>
    <xf numFmtId="0" fontId="10" fillId="7" borderId="11" xfId="0" applyFont="1" applyFill="1" applyBorder="1" applyAlignment="1">
      <alignment horizontal="center" vertical="center"/>
    </xf>
    <xf numFmtId="165" fontId="10" fillId="12" borderId="5" xfId="0" applyNumberFormat="1" applyFont="1" applyFill="1" applyBorder="1" applyAlignment="1" applyProtection="1">
      <alignment horizontal="center" vertical="center"/>
      <protection locked="0"/>
    </xf>
    <xf numFmtId="0" fontId="19" fillId="7" borderId="0" xfId="0" applyFont="1" applyFill="1"/>
    <xf numFmtId="0" fontId="4" fillId="7" borderId="4" xfId="0" applyFont="1" applyFill="1" applyBorder="1"/>
    <xf numFmtId="0" fontId="4" fillId="7" borderId="12" xfId="0" applyFont="1" applyFill="1" applyBorder="1"/>
    <xf numFmtId="0" fontId="4" fillId="7" borderId="13" xfId="0" applyFont="1" applyFill="1" applyBorder="1"/>
    <xf numFmtId="0" fontId="0" fillId="7" borderId="14" xfId="0" applyFill="1" applyBorder="1"/>
    <xf numFmtId="0" fontId="0" fillId="13" borderId="0" xfId="0" applyFill="1" applyProtection="1">
      <protection hidden="1"/>
    </xf>
    <xf numFmtId="0" fontId="0" fillId="0" borderId="0" xfId="0" applyProtection="1">
      <protection hidden="1"/>
    </xf>
    <xf numFmtId="0" fontId="4" fillId="0" borderId="0" xfId="0" applyFont="1" applyProtection="1">
      <protection hidden="1"/>
    </xf>
    <xf numFmtId="0" fontId="4" fillId="13" borderId="0" xfId="0" applyFont="1" applyFill="1" applyProtection="1">
      <protection hidden="1"/>
    </xf>
    <xf numFmtId="0" fontId="22" fillId="5" borderId="0" xfId="0" applyFont="1" applyFill="1" applyAlignment="1" applyProtection="1">
      <alignment horizontal="right" vertical="center"/>
      <protection hidden="1"/>
    </xf>
    <xf numFmtId="0" fontId="0" fillId="5" borderId="0" xfId="0" applyFill="1" applyProtection="1">
      <protection hidden="1"/>
    </xf>
    <xf numFmtId="0" fontId="8" fillId="5" borderId="0" xfId="0" applyFont="1" applyFill="1" applyAlignment="1" applyProtection="1">
      <alignment horizontal="center" vertical="center"/>
      <protection hidden="1"/>
    </xf>
    <xf numFmtId="0" fontId="23" fillId="5" borderId="0" xfId="0" applyFont="1" applyFill="1" applyAlignment="1" applyProtection="1">
      <alignment horizontal="center" vertical="center"/>
      <protection hidden="1"/>
    </xf>
    <xf numFmtId="0" fontId="24" fillId="5" borderId="0" xfId="0" applyFont="1" applyFill="1" applyAlignment="1" applyProtection="1">
      <alignment horizontal="center"/>
      <protection hidden="1"/>
    </xf>
    <xf numFmtId="0" fontId="25" fillId="5" borderId="0" xfId="0" applyFont="1" applyFill="1" applyAlignment="1" applyProtection="1">
      <alignment horizontal="center"/>
      <protection hidden="1"/>
    </xf>
    <xf numFmtId="0" fontId="26" fillId="5" borderId="0" xfId="0" applyFont="1" applyFill="1" applyAlignment="1" applyProtection="1">
      <alignment horizontal="center" vertical="center"/>
      <protection hidden="1"/>
    </xf>
    <xf numFmtId="0" fontId="27" fillId="5" borderId="0" xfId="0" applyFont="1" applyFill="1" applyAlignment="1" applyProtection="1">
      <alignment horizontal="center"/>
      <protection hidden="1"/>
    </xf>
    <xf numFmtId="0" fontId="11" fillId="5" borderId="0" xfId="0" applyFont="1" applyFill="1" applyAlignment="1" applyProtection="1">
      <alignment vertical="center"/>
      <protection hidden="1"/>
    </xf>
    <xf numFmtId="0" fontId="4" fillId="5" borderId="0" xfId="0" applyFont="1" applyFill="1" applyProtection="1">
      <protection hidden="1"/>
    </xf>
    <xf numFmtId="0" fontId="0" fillId="5" borderId="1" xfId="0" applyFill="1" applyBorder="1" applyProtection="1">
      <protection hidden="1"/>
    </xf>
    <xf numFmtId="0" fontId="29" fillId="5" borderId="2" xfId="0" applyFont="1" applyFill="1" applyBorder="1" applyAlignment="1" applyProtection="1">
      <alignment horizontal="right" vertical="center"/>
      <protection hidden="1"/>
    </xf>
    <xf numFmtId="1" fontId="29" fillId="5" borderId="16" xfId="0" applyNumberFormat="1" applyFont="1" applyFill="1" applyBorder="1" applyAlignment="1" applyProtection="1">
      <alignment horizontal="center" vertical="center"/>
      <protection hidden="1"/>
    </xf>
    <xf numFmtId="0" fontId="0" fillId="5" borderId="4" xfId="0" applyFill="1" applyBorder="1" applyProtection="1">
      <protection hidden="1"/>
    </xf>
    <xf numFmtId="0" fontId="30" fillId="5" borderId="4" xfId="0" applyFont="1" applyFill="1" applyBorder="1" applyAlignment="1" applyProtection="1">
      <alignment horizontal="left" vertical="top"/>
      <protection hidden="1"/>
    </xf>
    <xf numFmtId="0" fontId="30" fillId="5" borderId="0" xfId="0" applyFont="1" applyFill="1" applyAlignment="1" applyProtection="1">
      <alignment horizontal="left" vertical="top"/>
      <protection hidden="1"/>
    </xf>
    <xf numFmtId="0" fontId="4" fillId="5" borderId="0" xfId="0" applyFont="1" applyFill="1" applyAlignment="1" applyProtection="1">
      <alignment horizontal="left" vertical="center"/>
      <protection hidden="1"/>
    </xf>
    <xf numFmtId="0" fontId="0" fillId="5" borderId="0" xfId="0" applyFill="1" applyAlignment="1" applyProtection="1">
      <alignment horizontal="right" vertical="center"/>
      <protection hidden="1"/>
    </xf>
    <xf numFmtId="0" fontId="0" fillId="5" borderId="12" xfId="0" applyFill="1" applyBorder="1" applyProtection="1">
      <protection hidden="1"/>
    </xf>
    <xf numFmtId="0" fontId="17" fillId="5" borderId="0" xfId="0" applyFont="1" applyFill="1" applyProtection="1">
      <protection hidden="1"/>
    </xf>
    <xf numFmtId="0" fontId="31" fillId="5" borderId="12" xfId="0" applyFont="1" applyFill="1" applyBorder="1" applyAlignment="1" applyProtection="1">
      <alignment horizontal="left" vertical="center"/>
      <protection hidden="1"/>
    </xf>
    <xf numFmtId="0" fontId="17" fillId="5" borderId="13" xfId="0" applyFont="1" applyFill="1" applyBorder="1" applyProtection="1">
      <protection hidden="1"/>
    </xf>
    <xf numFmtId="0" fontId="17" fillId="5" borderId="14" xfId="0" applyFont="1" applyFill="1" applyBorder="1" applyProtection="1">
      <protection hidden="1"/>
    </xf>
    <xf numFmtId="0" fontId="0" fillId="0" borderId="12" xfId="0" applyBorder="1" applyProtection="1">
      <protection hidden="1"/>
    </xf>
    <xf numFmtId="0" fontId="34" fillId="14" borderId="4" xfId="0" applyFont="1" applyFill="1" applyBorder="1" applyProtection="1">
      <protection hidden="1"/>
    </xf>
    <xf numFmtId="0" fontId="34" fillId="14" borderId="4" xfId="0" applyFont="1" applyFill="1" applyBorder="1" applyAlignment="1" applyProtection="1">
      <alignment horizontal="center"/>
      <protection hidden="1"/>
    </xf>
    <xf numFmtId="0" fontId="34" fillId="14" borderId="0" xfId="0" applyFont="1" applyFill="1" applyAlignment="1" applyProtection="1">
      <alignment horizontal="center"/>
      <protection hidden="1"/>
    </xf>
    <xf numFmtId="0" fontId="4" fillId="14" borderId="19" xfId="0" applyFont="1" applyFill="1" applyBorder="1" applyAlignment="1" applyProtection="1">
      <alignment horizontal="center" vertical="center"/>
      <protection hidden="1"/>
    </xf>
    <xf numFmtId="1" fontId="35" fillId="14" borderId="0" xfId="0" applyNumberFormat="1" applyFont="1" applyFill="1" applyAlignment="1" applyProtection="1">
      <alignment horizontal="left"/>
      <protection hidden="1"/>
    </xf>
    <xf numFmtId="0" fontId="34" fillId="14" borderId="12" xfId="0" applyFont="1" applyFill="1" applyBorder="1" applyAlignment="1" applyProtection="1">
      <alignment vertical="center"/>
      <protection hidden="1"/>
    </xf>
    <xf numFmtId="0" fontId="19" fillId="14" borderId="22" xfId="0" applyFont="1" applyFill="1" applyBorder="1" applyAlignment="1" applyProtection="1">
      <alignment horizontal="center" vertical="center"/>
      <protection hidden="1"/>
    </xf>
    <xf numFmtId="2" fontId="34" fillId="14" borderId="23" xfId="2" applyNumberFormat="1" applyFont="1" applyFill="1" applyBorder="1" applyAlignment="1" applyProtection="1">
      <alignment horizontal="center" vertical="center"/>
      <protection hidden="1"/>
    </xf>
    <xf numFmtId="0" fontId="34" fillId="14" borderId="23" xfId="2" applyFont="1" applyFill="1" applyBorder="1" applyAlignment="1" applyProtection="1">
      <alignment horizontal="center" vertical="center"/>
      <protection hidden="1"/>
    </xf>
    <xf numFmtId="0" fontId="34" fillId="14" borderId="24" xfId="2" applyFont="1" applyFill="1" applyBorder="1" applyAlignment="1" applyProtection="1">
      <alignment horizontal="center" vertical="center"/>
      <protection hidden="1"/>
    </xf>
    <xf numFmtId="0" fontId="19" fillId="14" borderId="25" xfId="0" applyFont="1" applyFill="1" applyBorder="1" applyAlignment="1" applyProtection="1">
      <alignment horizontal="center" vertical="center"/>
      <protection hidden="1"/>
    </xf>
    <xf numFmtId="0" fontId="19" fillId="14" borderId="23" xfId="0" applyFont="1" applyFill="1" applyBorder="1" applyAlignment="1" applyProtection="1">
      <alignment horizontal="center" vertical="center"/>
      <protection hidden="1"/>
    </xf>
    <xf numFmtId="1" fontId="34" fillId="12" borderId="1" xfId="0" applyNumberFormat="1" applyFont="1" applyFill="1" applyBorder="1" applyAlignment="1" applyProtection="1">
      <alignment horizontal="center" vertical="center"/>
      <protection hidden="1"/>
    </xf>
    <xf numFmtId="167" fontId="19" fillId="12" borderId="27" xfId="0" applyNumberFormat="1" applyFont="1" applyFill="1" applyBorder="1" applyAlignment="1" applyProtection="1">
      <alignment horizontal="right" vertical="center"/>
      <protection locked="0"/>
    </xf>
    <xf numFmtId="2" fontId="4" fillId="2" borderId="29" xfId="0" applyNumberFormat="1" applyFont="1" applyFill="1" applyBorder="1" applyAlignment="1" applyProtection="1">
      <alignment horizontal="right" vertical="center"/>
      <protection hidden="1"/>
    </xf>
    <xf numFmtId="2" fontId="4" fillId="11" borderId="30" xfId="0" applyNumberFormat="1" applyFont="1" applyFill="1" applyBorder="1" applyAlignment="1" applyProtection="1">
      <alignment horizontal="center" vertical="center"/>
      <protection hidden="1"/>
    </xf>
    <xf numFmtId="3" fontId="19" fillId="4" borderId="31" xfId="0" applyNumberFormat="1" applyFont="1" applyFill="1" applyBorder="1" applyAlignment="1" applyProtection="1">
      <alignment horizontal="right" vertical="center"/>
      <protection hidden="1"/>
    </xf>
    <xf numFmtId="3" fontId="19" fillId="3" borderId="29" xfId="0" applyNumberFormat="1" applyFont="1" applyFill="1" applyBorder="1" applyAlignment="1" applyProtection="1">
      <alignment horizontal="right" vertical="center"/>
      <protection hidden="1"/>
    </xf>
    <xf numFmtId="3" fontId="19" fillId="9" borderId="31" xfId="0" applyNumberFormat="1" applyFont="1" applyFill="1" applyBorder="1" applyAlignment="1" applyProtection="1">
      <alignment horizontal="right" vertical="center"/>
      <protection hidden="1"/>
    </xf>
    <xf numFmtId="2" fontId="0" fillId="13" borderId="0" xfId="0" applyNumberFormat="1" applyFill="1" applyAlignment="1" applyProtection="1">
      <alignment horizontal="center"/>
      <protection hidden="1"/>
    </xf>
    <xf numFmtId="1" fontId="34" fillId="12" borderId="4" xfId="0" applyNumberFormat="1" applyFont="1" applyFill="1" applyBorder="1" applyAlignment="1" applyProtection="1">
      <alignment horizontal="center" vertical="center"/>
      <protection hidden="1"/>
    </xf>
    <xf numFmtId="167" fontId="19" fillId="12" borderId="32" xfId="0" applyNumberFormat="1" applyFont="1" applyFill="1" applyBorder="1" applyAlignment="1" applyProtection="1">
      <alignment horizontal="right" vertical="center"/>
      <protection locked="0"/>
    </xf>
    <xf numFmtId="1" fontId="34" fillId="12" borderId="34" xfId="0" applyNumberFormat="1" applyFont="1" applyFill="1" applyBorder="1" applyAlignment="1" applyProtection="1">
      <alignment horizontal="center" vertical="center"/>
      <protection hidden="1"/>
    </xf>
    <xf numFmtId="167" fontId="19" fillId="12" borderId="35" xfId="0" applyNumberFormat="1" applyFont="1" applyFill="1" applyBorder="1" applyAlignment="1" applyProtection="1">
      <alignment horizontal="right" vertical="center"/>
      <protection locked="0"/>
    </xf>
    <xf numFmtId="2" fontId="4" fillId="2" borderId="37" xfId="0" applyNumberFormat="1" applyFont="1" applyFill="1" applyBorder="1" applyAlignment="1" applyProtection="1">
      <alignment horizontal="right" vertical="center"/>
      <protection hidden="1"/>
    </xf>
    <xf numFmtId="2" fontId="4" fillId="11" borderId="38" xfId="0" applyNumberFormat="1" applyFont="1" applyFill="1" applyBorder="1" applyAlignment="1" applyProtection="1">
      <alignment horizontal="center" vertical="center"/>
      <protection hidden="1"/>
    </xf>
    <xf numFmtId="3" fontId="19" fillId="4" borderId="39" xfId="0" applyNumberFormat="1" applyFont="1" applyFill="1" applyBorder="1" applyAlignment="1" applyProtection="1">
      <alignment horizontal="right" vertical="center"/>
      <protection hidden="1"/>
    </xf>
    <xf numFmtId="3" fontId="19" fillId="3" borderId="37" xfId="0" applyNumberFormat="1" applyFont="1" applyFill="1" applyBorder="1" applyAlignment="1" applyProtection="1">
      <alignment horizontal="right" vertical="center"/>
      <protection hidden="1"/>
    </xf>
    <xf numFmtId="3" fontId="19" fillId="9" borderId="39" xfId="0" applyNumberFormat="1" applyFont="1" applyFill="1" applyBorder="1" applyAlignment="1" applyProtection="1">
      <alignment horizontal="right" vertical="center"/>
      <protection hidden="1"/>
    </xf>
    <xf numFmtId="1" fontId="34" fillId="12" borderId="12" xfId="0" applyNumberFormat="1" applyFont="1" applyFill="1" applyBorder="1" applyAlignment="1" applyProtection="1">
      <alignment horizontal="center" vertical="center"/>
      <protection hidden="1"/>
    </xf>
    <xf numFmtId="167" fontId="19" fillId="12" borderId="40" xfId="0" applyNumberFormat="1" applyFont="1" applyFill="1" applyBorder="1" applyAlignment="1" applyProtection="1">
      <alignment horizontal="right" vertical="center"/>
      <protection locked="0"/>
    </xf>
    <xf numFmtId="2" fontId="4" fillId="2" borderId="23" xfId="0" applyNumberFormat="1" applyFont="1" applyFill="1" applyBorder="1" applyAlignment="1" applyProtection="1">
      <alignment horizontal="right" vertical="center"/>
      <protection hidden="1"/>
    </xf>
    <xf numFmtId="2" fontId="4" fillId="11" borderId="24" xfId="0" applyNumberFormat="1" applyFont="1" applyFill="1" applyBorder="1" applyAlignment="1" applyProtection="1">
      <alignment horizontal="center" vertical="center"/>
      <protection hidden="1"/>
    </xf>
    <xf numFmtId="3" fontId="19" fillId="4" borderId="25" xfId="0" applyNumberFormat="1" applyFont="1" applyFill="1" applyBorder="1" applyAlignment="1" applyProtection="1">
      <alignment horizontal="right" vertical="center"/>
      <protection hidden="1"/>
    </xf>
    <xf numFmtId="3" fontId="19" fillId="3" borderId="23" xfId="0" applyNumberFormat="1" applyFont="1" applyFill="1" applyBorder="1" applyAlignment="1" applyProtection="1">
      <alignment horizontal="right" vertical="center"/>
      <protection hidden="1"/>
    </xf>
    <xf numFmtId="3" fontId="19" fillId="9" borderId="25" xfId="0" applyNumberFormat="1" applyFont="1" applyFill="1" applyBorder="1" applyAlignment="1" applyProtection="1">
      <alignment horizontal="right" vertical="center"/>
      <protection hidden="1"/>
    </xf>
    <xf numFmtId="0" fontId="34" fillId="5" borderId="1" xfId="0" applyFont="1" applyFill="1" applyBorder="1" applyAlignment="1" applyProtection="1">
      <alignment horizontal="left"/>
      <protection hidden="1"/>
    </xf>
    <xf numFmtId="0" fontId="34" fillId="5" borderId="2" xfId="0" applyFont="1" applyFill="1" applyBorder="1" applyAlignment="1" applyProtection="1">
      <alignment horizontal="right"/>
      <protection hidden="1"/>
    </xf>
    <xf numFmtId="167" fontId="38" fillId="5" borderId="27" xfId="0" applyNumberFormat="1" applyFont="1" applyFill="1" applyBorder="1" applyAlignment="1" applyProtection="1">
      <alignment horizontal="right"/>
      <protection hidden="1"/>
    </xf>
    <xf numFmtId="0" fontId="39" fillId="5" borderId="1" xfId="0" applyFont="1" applyFill="1" applyBorder="1" applyProtection="1">
      <protection hidden="1"/>
    </xf>
    <xf numFmtId="0" fontId="39" fillId="5" borderId="0" xfId="0" applyFont="1" applyFill="1" applyProtection="1">
      <protection hidden="1"/>
    </xf>
    <xf numFmtId="0" fontId="39" fillId="5" borderId="19" xfId="0" applyFont="1" applyFill="1" applyBorder="1" applyProtection="1">
      <protection hidden="1"/>
    </xf>
    <xf numFmtId="3" fontId="38" fillId="5" borderId="31" xfId="0" applyNumberFormat="1" applyFont="1" applyFill="1" applyBorder="1" applyAlignment="1" applyProtection="1">
      <alignment horizontal="right"/>
      <protection hidden="1"/>
    </xf>
    <xf numFmtId="3" fontId="38" fillId="5" borderId="29" xfId="0" applyNumberFormat="1" applyFont="1" applyFill="1" applyBorder="1" applyAlignment="1" applyProtection="1">
      <alignment horizontal="right"/>
      <protection hidden="1"/>
    </xf>
    <xf numFmtId="0" fontId="34" fillId="5" borderId="4" xfId="0" applyFont="1" applyFill="1" applyBorder="1" applyAlignment="1" applyProtection="1">
      <alignment horizontal="left"/>
      <protection hidden="1"/>
    </xf>
    <xf numFmtId="0" fontId="34" fillId="5" borderId="0" xfId="0" applyFont="1" applyFill="1" applyAlignment="1" applyProtection="1">
      <alignment horizontal="left"/>
      <protection hidden="1"/>
    </xf>
    <xf numFmtId="165" fontId="34" fillId="5" borderId="0" xfId="0" applyNumberFormat="1" applyFont="1" applyFill="1" applyAlignment="1" applyProtection="1">
      <alignment horizontal="right"/>
      <protection hidden="1"/>
    </xf>
    <xf numFmtId="0" fontId="34" fillId="5" borderId="0" xfId="0" applyFont="1" applyFill="1" applyAlignment="1" applyProtection="1">
      <alignment horizontal="left" vertical="center"/>
      <protection hidden="1"/>
    </xf>
    <xf numFmtId="3" fontId="34" fillId="5" borderId="0" xfId="0" applyNumberFormat="1" applyFont="1" applyFill="1" applyAlignment="1" applyProtection="1">
      <alignment horizontal="right"/>
      <protection hidden="1"/>
    </xf>
    <xf numFmtId="3" fontId="34" fillId="5" borderId="6" xfId="0" applyNumberFormat="1" applyFont="1" applyFill="1" applyBorder="1" applyAlignment="1" applyProtection="1">
      <alignment horizontal="right"/>
      <protection hidden="1"/>
    </xf>
    <xf numFmtId="0" fontId="22" fillId="12" borderId="0" xfId="0" applyFont="1" applyFill="1" applyAlignment="1" applyProtection="1">
      <alignment horizontal="right" vertical="center"/>
      <protection hidden="1"/>
    </xf>
    <xf numFmtId="0" fontId="38" fillId="0" borderId="4" xfId="0" applyFont="1" applyBorder="1" applyAlignment="1" applyProtection="1">
      <alignment vertical="center"/>
      <protection hidden="1"/>
    </xf>
    <xf numFmtId="0" fontId="34" fillId="0" borderId="4" xfId="0" applyFont="1" applyBorder="1" applyAlignment="1" applyProtection="1">
      <alignment horizontal="right"/>
      <protection hidden="1"/>
    </xf>
    <xf numFmtId="0" fontId="34" fillId="0" borderId="0" xfId="0" applyFont="1" applyAlignment="1" applyProtection="1">
      <alignment horizontal="right"/>
      <protection hidden="1"/>
    </xf>
    <xf numFmtId="165" fontId="34" fillId="0" borderId="0" xfId="0" applyNumberFormat="1" applyFont="1" applyAlignment="1" applyProtection="1">
      <alignment horizontal="right"/>
      <protection hidden="1"/>
    </xf>
    <xf numFmtId="3" fontId="34" fillId="0" borderId="6" xfId="0" applyNumberFormat="1" applyFont="1" applyBorder="1" applyAlignment="1" applyProtection="1">
      <alignment horizontal="right"/>
      <protection hidden="1"/>
    </xf>
    <xf numFmtId="0" fontId="0" fillId="11" borderId="4" xfId="0" applyFill="1" applyBorder="1" applyProtection="1">
      <protection hidden="1"/>
    </xf>
    <xf numFmtId="0" fontId="0" fillId="0" borderId="4" xfId="0" applyBorder="1" applyProtection="1">
      <protection hidden="1"/>
    </xf>
    <xf numFmtId="0" fontId="34" fillId="0" borderId="12" xfId="0" applyFont="1" applyBorder="1" applyAlignment="1" applyProtection="1">
      <alignment horizontal="right"/>
      <protection hidden="1"/>
    </xf>
    <xf numFmtId="165" fontId="34" fillId="0" borderId="0" xfId="0" applyNumberFormat="1" applyFont="1" applyAlignment="1" applyProtection="1">
      <alignment horizontal="center"/>
      <protection hidden="1"/>
    </xf>
    <xf numFmtId="0" fontId="34" fillId="0" borderId="0" xfId="0" applyFont="1" applyAlignment="1" applyProtection="1">
      <alignment horizontal="left" vertical="center"/>
      <protection hidden="1"/>
    </xf>
    <xf numFmtId="0" fontId="0" fillId="0" borderId="6" xfId="0" applyBorder="1" applyProtection="1">
      <protection hidden="1"/>
    </xf>
    <xf numFmtId="0" fontId="0" fillId="0" borderId="11" xfId="0" applyBorder="1" applyProtection="1">
      <protection hidden="1"/>
    </xf>
    <xf numFmtId="2" fontId="34" fillId="14" borderId="21" xfId="2" applyNumberFormat="1" applyFont="1" applyFill="1" applyBorder="1" applyAlignment="1" applyProtection="1">
      <alignment horizontal="center" vertical="center"/>
      <protection hidden="1"/>
    </xf>
    <xf numFmtId="167" fontId="34" fillId="12" borderId="27" xfId="0" applyNumberFormat="1" applyFont="1" applyFill="1" applyBorder="1" applyAlignment="1" applyProtection="1">
      <alignment horizontal="right" vertical="center"/>
      <protection locked="0"/>
    </xf>
    <xf numFmtId="2" fontId="0" fillId="2" borderId="4" xfId="0" applyNumberFormat="1" applyFill="1" applyBorder="1" applyAlignment="1" applyProtection="1">
      <alignment horizontal="right" vertical="center"/>
      <protection hidden="1"/>
    </xf>
    <xf numFmtId="2" fontId="0" fillId="2" borderId="29" xfId="0" applyNumberFormat="1" applyFill="1" applyBorder="1" applyAlignment="1" applyProtection="1">
      <alignment horizontal="right" vertical="center"/>
      <protection hidden="1"/>
    </xf>
    <xf numFmtId="3" fontId="19" fillId="3" borderId="18" xfId="0" applyNumberFormat="1" applyFont="1" applyFill="1" applyBorder="1" applyAlignment="1" applyProtection="1">
      <alignment horizontal="right" vertical="center"/>
      <protection hidden="1"/>
    </xf>
    <xf numFmtId="3" fontId="19" fillId="9" borderId="45" xfId="0" applyNumberFormat="1" applyFont="1" applyFill="1" applyBorder="1" applyAlignment="1" applyProtection="1">
      <alignment horizontal="right" vertical="center"/>
      <protection hidden="1"/>
    </xf>
    <xf numFmtId="3" fontId="19" fillId="3" borderId="46" xfId="0" applyNumberFormat="1" applyFont="1" applyFill="1" applyBorder="1" applyAlignment="1" applyProtection="1">
      <alignment horizontal="right" vertical="center"/>
      <protection hidden="1"/>
    </xf>
    <xf numFmtId="167" fontId="34" fillId="12" borderId="32" xfId="0" applyNumberFormat="1" applyFont="1" applyFill="1" applyBorder="1" applyAlignment="1" applyProtection="1">
      <alignment horizontal="right" vertical="center"/>
      <protection locked="0"/>
    </xf>
    <xf numFmtId="2" fontId="0" fillId="2" borderId="47" xfId="0" applyNumberFormat="1" applyFill="1" applyBorder="1" applyAlignment="1" applyProtection="1">
      <alignment horizontal="right" vertical="center"/>
      <protection hidden="1"/>
    </xf>
    <xf numFmtId="3" fontId="19" fillId="9" borderId="48" xfId="0" applyNumberFormat="1" applyFont="1" applyFill="1" applyBorder="1" applyAlignment="1" applyProtection="1">
      <alignment horizontal="right" vertical="center"/>
      <protection hidden="1"/>
    </xf>
    <xf numFmtId="167" fontId="34" fillId="12" borderId="35" xfId="0" applyNumberFormat="1" applyFont="1" applyFill="1" applyBorder="1" applyAlignment="1" applyProtection="1">
      <alignment horizontal="right" vertical="center"/>
      <protection locked="0"/>
    </xf>
    <xf numFmtId="2" fontId="0" fillId="2" borderId="50" xfId="0" applyNumberFormat="1" applyFill="1" applyBorder="1" applyAlignment="1" applyProtection="1">
      <alignment horizontal="right" vertical="center"/>
      <protection hidden="1"/>
    </xf>
    <xf numFmtId="2" fontId="0" fillId="2" borderId="37" xfId="0" applyNumberFormat="1" applyFill="1" applyBorder="1" applyAlignment="1" applyProtection="1">
      <alignment horizontal="right" vertical="center"/>
      <protection hidden="1"/>
    </xf>
    <xf numFmtId="3" fontId="19" fillId="3" borderId="51" xfId="0" applyNumberFormat="1" applyFont="1" applyFill="1" applyBorder="1" applyAlignment="1" applyProtection="1">
      <alignment horizontal="right" vertical="center"/>
      <protection hidden="1"/>
    </xf>
    <xf numFmtId="3" fontId="19" fillId="9" borderId="52" xfId="0" applyNumberFormat="1" applyFont="1" applyFill="1" applyBorder="1" applyAlignment="1" applyProtection="1">
      <alignment horizontal="right" vertical="center"/>
      <protection hidden="1"/>
    </xf>
    <xf numFmtId="3" fontId="19" fillId="3" borderId="53" xfId="0" applyNumberFormat="1" applyFont="1" applyFill="1" applyBorder="1" applyAlignment="1" applyProtection="1">
      <alignment horizontal="right" vertical="center"/>
      <protection hidden="1"/>
    </xf>
    <xf numFmtId="167" fontId="34" fillId="12" borderId="40" xfId="0" applyNumberFormat="1" applyFont="1" applyFill="1" applyBorder="1" applyAlignment="1" applyProtection="1">
      <alignment horizontal="right" vertical="center"/>
      <protection locked="0"/>
    </xf>
    <xf numFmtId="2" fontId="0" fillId="2" borderId="21" xfId="0" applyNumberFormat="1" applyFill="1" applyBorder="1" applyAlignment="1" applyProtection="1">
      <alignment horizontal="right" vertical="center"/>
      <protection hidden="1"/>
    </xf>
    <xf numFmtId="2" fontId="0" fillId="2" borderId="23" xfId="0" applyNumberFormat="1" applyFill="1" applyBorder="1" applyAlignment="1" applyProtection="1">
      <alignment horizontal="right" vertical="center"/>
      <protection hidden="1"/>
    </xf>
    <xf numFmtId="3" fontId="19" fillId="3" borderId="22" xfId="0" applyNumberFormat="1" applyFont="1" applyFill="1" applyBorder="1" applyAlignment="1" applyProtection="1">
      <alignment horizontal="right" vertical="center"/>
      <protection hidden="1"/>
    </xf>
    <xf numFmtId="3" fontId="19" fillId="9" borderId="55" xfId="0" applyNumberFormat="1" applyFont="1" applyFill="1" applyBorder="1" applyAlignment="1" applyProtection="1">
      <alignment horizontal="right" vertical="center"/>
      <protection hidden="1"/>
    </xf>
    <xf numFmtId="3" fontId="19" fillId="3" borderId="56" xfId="0" applyNumberFormat="1" applyFont="1" applyFill="1" applyBorder="1" applyAlignment="1" applyProtection="1">
      <alignment horizontal="right" vertical="center"/>
      <protection hidden="1"/>
    </xf>
    <xf numFmtId="0" fontId="0" fillId="5" borderId="4" xfId="0" applyFill="1" applyBorder="1" applyAlignment="1" applyProtection="1">
      <alignment vertical="center"/>
      <protection hidden="1"/>
    </xf>
    <xf numFmtId="0" fontId="34" fillId="5" borderId="4" xfId="0" applyFont="1" applyFill="1" applyBorder="1" applyAlignment="1" applyProtection="1">
      <alignment horizontal="left" vertical="center"/>
      <protection hidden="1"/>
    </xf>
    <xf numFmtId="0" fontId="39" fillId="5" borderId="0" xfId="0" applyFont="1" applyFill="1" applyAlignment="1" applyProtection="1">
      <alignment vertical="center"/>
      <protection hidden="1"/>
    </xf>
    <xf numFmtId="0" fontId="39" fillId="5" borderId="19" xfId="0" applyFont="1" applyFill="1" applyBorder="1" applyAlignment="1" applyProtection="1">
      <alignment vertical="center"/>
      <protection hidden="1"/>
    </xf>
    <xf numFmtId="3" fontId="38" fillId="5" borderId="31" xfId="0" applyNumberFormat="1" applyFont="1" applyFill="1" applyBorder="1" applyAlignment="1" applyProtection="1">
      <alignment horizontal="right" vertical="center"/>
      <protection hidden="1"/>
    </xf>
    <xf numFmtId="3" fontId="38" fillId="5" borderId="18" xfId="0" applyNumberFormat="1" applyFont="1" applyFill="1" applyBorder="1" applyAlignment="1" applyProtection="1">
      <alignment horizontal="right" vertical="center"/>
      <protection hidden="1"/>
    </xf>
    <xf numFmtId="3" fontId="38" fillId="5" borderId="45" xfId="0" applyNumberFormat="1" applyFont="1" applyFill="1" applyBorder="1" applyAlignment="1" applyProtection="1">
      <alignment horizontal="right" vertical="center"/>
      <protection hidden="1"/>
    </xf>
    <xf numFmtId="3" fontId="38" fillId="5" borderId="6" xfId="0" applyNumberFormat="1" applyFont="1" applyFill="1" applyBorder="1" applyAlignment="1" applyProtection="1">
      <alignment horizontal="right" vertical="center"/>
      <protection hidden="1"/>
    </xf>
    <xf numFmtId="3" fontId="34" fillId="13" borderId="0" xfId="0" applyNumberFormat="1" applyFont="1" applyFill="1" applyAlignment="1" applyProtection="1">
      <alignment horizontal="right" vertical="center"/>
      <protection hidden="1"/>
    </xf>
    <xf numFmtId="0" fontId="0" fillId="5" borderId="0" xfId="0" applyFill="1" applyAlignment="1" applyProtection="1">
      <alignment vertical="center"/>
      <protection hidden="1"/>
    </xf>
    <xf numFmtId="2" fontId="34" fillId="5" borderId="0" xfId="0" applyNumberFormat="1" applyFont="1" applyFill="1" applyAlignment="1" applyProtection="1">
      <alignment horizontal="right" vertical="center"/>
      <protection hidden="1"/>
    </xf>
    <xf numFmtId="3" fontId="34" fillId="5" borderId="0" xfId="0" applyNumberFormat="1" applyFont="1" applyFill="1" applyAlignment="1" applyProtection="1">
      <alignment horizontal="right" vertical="center"/>
      <protection hidden="1"/>
    </xf>
    <xf numFmtId="3" fontId="34" fillId="5" borderId="6" xfId="0" applyNumberFormat="1" applyFont="1" applyFill="1" applyBorder="1" applyAlignment="1" applyProtection="1">
      <alignment horizontal="right" vertical="center"/>
      <protection hidden="1"/>
    </xf>
    <xf numFmtId="0" fontId="0" fillId="0" borderId="4" xfId="0" applyBorder="1" applyAlignment="1" applyProtection="1">
      <alignment vertical="center"/>
      <protection hidden="1"/>
    </xf>
    <xf numFmtId="0" fontId="34" fillId="14" borderId="17" xfId="0" applyFont="1" applyFill="1" applyBorder="1" applyAlignment="1" applyProtection="1">
      <alignment horizontal="center"/>
      <protection hidden="1"/>
    </xf>
    <xf numFmtId="0" fontId="19" fillId="14" borderId="12" xfId="0" applyFont="1" applyFill="1" applyBorder="1" applyAlignment="1" applyProtection="1">
      <alignment horizontal="center"/>
      <protection hidden="1"/>
    </xf>
    <xf numFmtId="0" fontId="19" fillId="14" borderId="23" xfId="0" applyFont="1" applyFill="1" applyBorder="1" applyAlignment="1" applyProtection="1">
      <alignment horizontal="center"/>
      <protection hidden="1"/>
    </xf>
    <xf numFmtId="0" fontId="34" fillId="12" borderId="27" xfId="0" applyFont="1" applyFill="1" applyBorder="1" applyAlignment="1" applyProtection="1">
      <alignment horizontal="right" vertical="center"/>
      <protection locked="0"/>
    </xf>
    <xf numFmtId="0" fontId="34" fillId="12" borderId="0" xfId="0" applyFont="1" applyFill="1" applyAlignment="1" applyProtection="1">
      <alignment horizontal="right" vertical="center"/>
      <protection locked="0"/>
    </xf>
    <xf numFmtId="0" fontId="34" fillId="12" borderId="32" xfId="0" applyFont="1" applyFill="1" applyBorder="1" applyAlignment="1" applyProtection="1">
      <alignment horizontal="right" vertical="center"/>
      <protection locked="0"/>
    </xf>
    <xf numFmtId="0" fontId="34" fillId="12" borderId="35" xfId="0" applyFont="1" applyFill="1" applyBorder="1" applyAlignment="1" applyProtection="1">
      <alignment horizontal="right" vertical="center"/>
      <protection locked="0"/>
    </xf>
    <xf numFmtId="0" fontId="34" fillId="12" borderId="57" xfId="0" applyFont="1" applyFill="1" applyBorder="1" applyAlignment="1" applyProtection="1">
      <alignment horizontal="right" vertical="center"/>
      <protection locked="0"/>
    </xf>
    <xf numFmtId="0" fontId="34" fillId="12" borderId="40" xfId="0" applyFont="1" applyFill="1" applyBorder="1" applyAlignment="1" applyProtection="1">
      <alignment horizontal="right" vertical="center"/>
      <protection locked="0"/>
    </xf>
    <xf numFmtId="0" fontId="34" fillId="12" borderId="13" xfId="0" applyFont="1" applyFill="1" applyBorder="1" applyAlignment="1" applyProtection="1">
      <alignment horizontal="right" vertical="center"/>
      <protection locked="0"/>
    </xf>
    <xf numFmtId="167" fontId="38" fillId="5" borderId="27" xfId="0" applyNumberFormat="1" applyFont="1" applyFill="1" applyBorder="1" applyAlignment="1" applyProtection="1">
      <alignment vertical="center"/>
      <protection hidden="1"/>
    </xf>
    <xf numFmtId="0" fontId="0" fillId="5" borderId="11" xfId="0" applyFill="1" applyBorder="1" applyProtection="1">
      <protection hidden="1"/>
    </xf>
    <xf numFmtId="1" fontId="4" fillId="0" borderId="58" xfId="0" applyNumberFormat="1" applyFont="1" applyBorder="1" applyAlignment="1" applyProtection="1">
      <alignment horizontal="center" vertical="center"/>
      <protection hidden="1"/>
    </xf>
    <xf numFmtId="3" fontId="38" fillId="5" borderId="46" xfId="0" applyNumberFormat="1" applyFont="1" applyFill="1" applyBorder="1" applyAlignment="1" applyProtection="1">
      <alignment horizontal="right" vertical="center"/>
      <protection hidden="1"/>
    </xf>
    <xf numFmtId="1" fontId="34" fillId="5" borderId="4" xfId="0" applyNumberFormat="1" applyFont="1" applyFill="1" applyBorder="1" applyAlignment="1" applyProtection="1">
      <alignment horizontal="center" vertical="center"/>
      <protection hidden="1"/>
    </xf>
    <xf numFmtId="167" fontId="41" fillId="5" borderId="0" xfId="0" applyNumberFormat="1" applyFont="1" applyFill="1" applyAlignment="1" applyProtection="1">
      <alignment horizontal="right" vertical="center"/>
      <protection hidden="1"/>
    </xf>
    <xf numFmtId="0" fontId="37" fillId="5" borderId="0" xfId="0" applyFont="1" applyFill="1" applyAlignment="1" applyProtection="1">
      <alignment vertical="center"/>
      <protection hidden="1"/>
    </xf>
    <xf numFmtId="0" fontId="37" fillId="5" borderId="19" xfId="0" applyFont="1" applyFill="1" applyBorder="1" applyAlignment="1" applyProtection="1">
      <alignment vertical="center"/>
      <protection hidden="1"/>
    </xf>
    <xf numFmtId="3" fontId="41" fillId="5" borderId="31" xfId="0" applyNumberFormat="1" applyFont="1" applyFill="1" applyBorder="1" applyAlignment="1" applyProtection="1">
      <alignment horizontal="right" vertical="center"/>
      <protection hidden="1"/>
    </xf>
    <xf numFmtId="3" fontId="41" fillId="5" borderId="18" xfId="0" applyNumberFormat="1" applyFont="1" applyFill="1" applyBorder="1" applyAlignment="1" applyProtection="1">
      <alignment horizontal="right" vertical="center"/>
      <protection hidden="1"/>
    </xf>
    <xf numFmtId="3" fontId="41" fillId="5" borderId="46" xfId="0" applyNumberFormat="1" applyFont="1" applyFill="1" applyBorder="1" applyAlignment="1" applyProtection="1">
      <alignment horizontal="right" vertical="center"/>
      <protection hidden="1"/>
    </xf>
    <xf numFmtId="0" fontId="0" fillId="0" borderId="12" xfId="0" applyBorder="1" applyAlignment="1" applyProtection="1">
      <alignment vertical="center"/>
      <protection hidden="1"/>
    </xf>
    <xf numFmtId="169" fontId="0" fillId="2" borderId="0" xfId="0" applyNumberFormat="1" applyFill="1" applyAlignment="1" applyProtection="1">
      <alignment horizontal="center" vertical="center"/>
      <protection hidden="1"/>
    </xf>
    <xf numFmtId="169" fontId="0" fillId="2" borderId="29" xfId="0" applyNumberFormat="1" applyFill="1" applyBorder="1" applyAlignment="1" applyProtection="1">
      <alignment horizontal="center" vertical="center"/>
      <protection hidden="1"/>
    </xf>
    <xf numFmtId="167" fontId="34" fillId="12" borderId="59" xfId="0" applyNumberFormat="1" applyFont="1" applyFill="1" applyBorder="1" applyAlignment="1" applyProtection="1">
      <alignment horizontal="right" vertical="center"/>
      <protection locked="0"/>
    </xf>
    <xf numFmtId="167" fontId="34" fillId="12" borderId="60" xfId="0" applyNumberFormat="1" applyFont="1" applyFill="1" applyBorder="1" applyAlignment="1" applyProtection="1">
      <alignment horizontal="right" vertical="center"/>
      <protection locked="0"/>
    </xf>
    <xf numFmtId="169" fontId="0" fillId="2" borderId="37" xfId="0" applyNumberFormat="1" applyFill="1" applyBorder="1" applyAlignment="1" applyProtection="1">
      <alignment horizontal="center" vertical="center"/>
      <protection hidden="1"/>
    </xf>
    <xf numFmtId="169" fontId="0" fillId="2" borderId="23" xfId="0" applyNumberFormat="1" applyFill="1" applyBorder="1" applyAlignment="1" applyProtection="1">
      <alignment horizontal="center" vertical="center"/>
      <protection hidden="1"/>
    </xf>
    <xf numFmtId="0" fontId="34" fillId="5" borderId="1" xfId="0" applyFont="1" applyFill="1" applyBorder="1" applyAlignment="1" applyProtection="1">
      <alignment horizontal="left" vertical="center"/>
      <protection hidden="1"/>
    </xf>
    <xf numFmtId="0" fontId="34" fillId="5" borderId="2" xfId="0" applyFont="1" applyFill="1" applyBorder="1" applyAlignment="1" applyProtection="1">
      <alignment horizontal="left" vertical="center"/>
      <protection hidden="1"/>
    </xf>
    <xf numFmtId="1" fontId="39" fillId="5" borderId="2" xfId="0" applyNumberFormat="1" applyFont="1" applyFill="1" applyBorder="1" applyAlignment="1" applyProtection="1">
      <alignment vertical="center"/>
      <protection hidden="1"/>
    </xf>
    <xf numFmtId="1" fontId="39" fillId="5" borderId="61" xfId="0" applyNumberFormat="1" applyFont="1" applyFill="1" applyBorder="1" applyAlignment="1" applyProtection="1">
      <alignment vertical="center"/>
      <protection hidden="1"/>
    </xf>
    <xf numFmtId="1" fontId="38" fillId="5" borderId="20" xfId="0" applyNumberFormat="1" applyFont="1" applyFill="1" applyBorder="1" applyAlignment="1" applyProtection="1">
      <alignment horizontal="right" vertical="center"/>
      <protection hidden="1"/>
    </xf>
    <xf numFmtId="1" fontId="38" fillId="5" borderId="43" xfId="0" applyNumberFormat="1" applyFont="1" applyFill="1" applyBorder="1" applyAlignment="1" applyProtection="1">
      <alignment horizontal="right" vertical="center"/>
      <protection hidden="1"/>
    </xf>
    <xf numFmtId="1" fontId="38" fillId="5" borderId="62" xfId="0" applyNumberFormat="1" applyFont="1" applyFill="1" applyBorder="1" applyAlignment="1" applyProtection="1">
      <alignment horizontal="right" vertical="center"/>
      <protection hidden="1"/>
    </xf>
    <xf numFmtId="0" fontId="4" fillId="5" borderId="4" xfId="0" applyFont="1" applyFill="1" applyBorder="1" applyAlignment="1" applyProtection="1">
      <alignment horizontal="left" vertical="center"/>
      <protection hidden="1"/>
    </xf>
    <xf numFmtId="0" fontId="34" fillId="5" borderId="4" xfId="0" applyFont="1" applyFill="1" applyBorder="1" applyAlignment="1" applyProtection="1">
      <alignment horizontal="center"/>
      <protection hidden="1"/>
    </xf>
    <xf numFmtId="0" fontId="34" fillId="5" borderId="0" xfId="0" applyFont="1" applyFill="1" applyAlignment="1" applyProtection="1">
      <alignment horizontal="center"/>
      <protection hidden="1"/>
    </xf>
    <xf numFmtId="0" fontId="4" fillId="5" borderId="19"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protection hidden="1"/>
    </xf>
    <xf numFmtId="0" fontId="19" fillId="5" borderId="0" xfId="0" applyFont="1" applyFill="1" applyAlignment="1" applyProtection="1">
      <alignment horizontal="center"/>
      <protection hidden="1"/>
    </xf>
    <xf numFmtId="0" fontId="19" fillId="5" borderId="18" xfId="0" applyFont="1" applyFill="1" applyBorder="1" applyAlignment="1" applyProtection="1">
      <alignment horizontal="center" vertical="center"/>
      <protection hidden="1"/>
    </xf>
    <xf numFmtId="2" fontId="34" fillId="5" borderId="29" xfId="2" applyNumberFormat="1" applyFont="1" applyFill="1" applyBorder="1" applyAlignment="1" applyProtection="1">
      <alignment horizontal="center" vertical="center"/>
      <protection hidden="1"/>
    </xf>
    <xf numFmtId="0" fontId="34" fillId="5" borderId="29" xfId="2" applyFont="1" applyFill="1" applyBorder="1" applyAlignment="1" applyProtection="1">
      <alignment horizontal="center" vertical="center"/>
      <protection hidden="1"/>
    </xf>
    <xf numFmtId="0" fontId="34" fillId="5" borderId="30" xfId="2" applyFont="1" applyFill="1" applyBorder="1" applyAlignment="1" applyProtection="1">
      <alignment horizontal="center" vertical="center"/>
      <protection hidden="1"/>
    </xf>
    <xf numFmtId="0" fontId="19" fillId="5" borderId="31" xfId="0" applyFont="1" applyFill="1" applyBorder="1" applyAlignment="1" applyProtection="1">
      <alignment horizontal="center" vertical="center"/>
      <protection hidden="1"/>
    </xf>
    <xf numFmtId="0" fontId="19" fillId="5" borderId="29" xfId="0" applyFont="1" applyFill="1" applyBorder="1" applyAlignment="1" applyProtection="1">
      <alignment horizontal="center" vertical="center"/>
      <protection hidden="1"/>
    </xf>
    <xf numFmtId="167" fontId="34" fillId="5" borderId="32" xfId="0" applyNumberFormat="1" applyFont="1" applyFill="1" applyBorder="1" applyAlignment="1" applyProtection="1">
      <alignment horizontal="right" vertical="center"/>
      <protection hidden="1"/>
    </xf>
    <xf numFmtId="2" fontId="4" fillId="5" borderId="29" xfId="0" applyNumberFormat="1" applyFont="1" applyFill="1" applyBorder="1" applyAlignment="1" applyProtection="1">
      <alignment horizontal="right" vertical="center"/>
      <protection hidden="1"/>
    </xf>
    <xf numFmtId="2" fontId="4" fillId="5" borderId="30" xfId="0" applyNumberFormat="1" applyFont="1" applyFill="1" applyBorder="1" applyAlignment="1" applyProtection="1">
      <alignment horizontal="center" vertical="center"/>
      <protection hidden="1"/>
    </xf>
    <xf numFmtId="3" fontId="19" fillId="5" borderId="31" xfId="0" applyNumberFormat="1" applyFont="1" applyFill="1" applyBorder="1" applyAlignment="1" applyProtection="1">
      <alignment horizontal="right" vertical="center"/>
      <protection hidden="1"/>
    </xf>
    <xf numFmtId="3" fontId="19" fillId="5" borderId="18" xfId="0" applyNumberFormat="1" applyFont="1" applyFill="1" applyBorder="1" applyAlignment="1" applyProtection="1">
      <alignment horizontal="right" vertical="center"/>
      <protection hidden="1"/>
    </xf>
    <xf numFmtId="3" fontId="19" fillId="5" borderId="48" xfId="0" applyNumberFormat="1" applyFont="1" applyFill="1" applyBorder="1" applyAlignment="1" applyProtection="1">
      <alignment horizontal="right" vertical="center"/>
      <protection hidden="1"/>
    </xf>
    <xf numFmtId="3" fontId="19" fillId="5" borderId="46" xfId="0" applyNumberFormat="1" applyFont="1" applyFill="1" applyBorder="1" applyAlignment="1" applyProtection="1">
      <alignment horizontal="right" vertical="center"/>
      <protection hidden="1"/>
    </xf>
    <xf numFmtId="0" fontId="0" fillId="5" borderId="19" xfId="0" applyFill="1" applyBorder="1" applyAlignment="1" applyProtection="1">
      <alignment vertical="center"/>
      <protection hidden="1"/>
    </xf>
    <xf numFmtId="3" fontId="34" fillId="5" borderId="31" xfId="0" applyNumberFormat="1" applyFont="1" applyFill="1" applyBorder="1" applyAlignment="1" applyProtection="1">
      <alignment horizontal="right" vertical="center"/>
      <protection hidden="1"/>
    </xf>
    <xf numFmtId="3" fontId="34" fillId="5" borderId="18" xfId="0" applyNumberFormat="1" applyFont="1" applyFill="1" applyBorder="1" applyAlignment="1" applyProtection="1">
      <alignment horizontal="right" vertical="center"/>
      <protection hidden="1"/>
    </xf>
    <xf numFmtId="3" fontId="34" fillId="5" borderId="46" xfId="0" applyNumberFormat="1" applyFont="1" applyFill="1" applyBorder="1" applyAlignment="1" applyProtection="1">
      <alignment horizontal="right" vertical="center"/>
      <protection hidden="1"/>
    </xf>
    <xf numFmtId="0" fontId="34" fillId="5" borderId="12" xfId="0" applyFont="1" applyFill="1" applyBorder="1" applyAlignment="1" applyProtection="1">
      <alignment horizontal="left" vertical="center"/>
      <protection hidden="1"/>
    </xf>
    <xf numFmtId="0" fontId="34" fillId="5" borderId="13" xfId="0" applyFont="1" applyFill="1" applyBorder="1" applyAlignment="1" applyProtection="1">
      <alignment horizontal="left" vertical="center"/>
      <protection hidden="1"/>
    </xf>
    <xf numFmtId="0" fontId="0" fillId="5" borderId="13" xfId="0" applyFill="1" applyBorder="1" applyAlignment="1" applyProtection="1">
      <alignment vertical="center"/>
      <protection hidden="1"/>
    </xf>
    <xf numFmtId="2" fontId="34" fillId="5" borderId="13" xfId="0" applyNumberFormat="1" applyFont="1" applyFill="1" applyBorder="1" applyAlignment="1" applyProtection="1">
      <alignment horizontal="right" vertical="center"/>
      <protection hidden="1"/>
    </xf>
    <xf numFmtId="3" fontId="34" fillId="5" borderId="13" xfId="0" applyNumberFormat="1" applyFont="1" applyFill="1" applyBorder="1" applyAlignment="1" applyProtection="1">
      <alignment horizontal="right" vertical="center"/>
      <protection hidden="1"/>
    </xf>
    <xf numFmtId="3" fontId="34" fillId="5" borderId="14" xfId="0" applyNumberFormat="1" applyFont="1" applyFill="1" applyBorder="1" applyAlignment="1" applyProtection="1">
      <alignment horizontal="right" vertical="center"/>
      <protection hidden="1"/>
    </xf>
    <xf numFmtId="0" fontId="42" fillId="13" borderId="0" xfId="0" applyFont="1" applyFill="1" applyProtection="1">
      <protection hidden="1"/>
    </xf>
    <xf numFmtId="1" fontId="34" fillId="5" borderId="63" xfId="0" applyNumberFormat="1" applyFont="1" applyFill="1" applyBorder="1" applyAlignment="1" applyProtection="1">
      <alignment horizontal="center" vertical="center"/>
      <protection hidden="1"/>
    </xf>
    <xf numFmtId="170" fontId="39" fillId="5" borderId="0" xfId="0" applyNumberFormat="1" applyFont="1" applyFill="1" applyAlignment="1" applyProtection="1">
      <alignment horizontal="right" vertical="center"/>
      <protection hidden="1"/>
    </xf>
    <xf numFmtId="170" fontId="39" fillId="5" borderId="19" xfId="0" applyNumberFormat="1" applyFont="1" applyFill="1" applyBorder="1" applyAlignment="1" applyProtection="1">
      <alignment horizontal="right" vertical="center"/>
      <protection hidden="1"/>
    </xf>
    <xf numFmtId="170" fontId="38" fillId="5" borderId="31" xfId="0" applyNumberFormat="1" applyFont="1" applyFill="1" applyBorder="1" applyAlignment="1" applyProtection="1">
      <alignment horizontal="right" vertical="center"/>
      <protection hidden="1"/>
    </xf>
    <xf numFmtId="170" fontId="38" fillId="5" borderId="18" xfId="0" applyNumberFormat="1" applyFont="1" applyFill="1" applyBorder="1" applyAlignment="1" applyProtection="1">
      <alignment horizontal="right" vertical="center"/>
      <protection hidden="1"/>
    </xf>
    <xf numFmtId="170" fontId="38" fillId="5" borderId="46" xfId="0" applyNumberFormat="1" applyFont="1" applyFill="1" applyBorder="1" applyAlignment="1" applyProtection="1">
      <alignment horizontal="right" vertical="center"/>
      <protection hidden="1"/>
    </xf>
    <xf numFmtId="167" fontId="38" fillId="5" borderId="13" xfId="0" applyNumberFormat="1" applyFont="1" applyFill="1" applyBorder="1" applyAlignment="1" applyProtection="1">
      <alignment horizontal="right" vertical="center"/>
      <protection hidden="1"/>
    </xf>
    <xf numFmtId="167" fontId="39" fillId="5" borderId="13" xfId="0" applyNumberFormat="1" applyFont="1" applyFill="1" applyBorder="1" applyAlignment="1" applyProtection="1">
      <alignment vertical="center"/>
      <protection hidden="1"/>
    </xf>
    <xf numFmtId="3" fontId="38" fillId="5" borderId="0" xfId="0" applyNumberFormat="1" applyFont="1" applyFill="1" applyAlignment="1" applyProtection="1">
      <alignment horizontal="right" vertical="center"/>
      <protection hidden="1"/>
    </xf>
    <xf numFmtId="1" fontId="34" fillId="12" borderId="63" xfId="0" applyNumberFormat="1" applyFont="1" applyFill="1" applyBorder="1" applyAlignment="1" applyProtection="1">
      <alignment horizontal="center" vertical="center"/>
      <protection hidden="1"/>
    </xf>
    <xf numFmtId="167" fontId="38" fillId="5" borderId="0" xfId="0" applyNumberFormat="1" applyFont="1" applyFill="1" applyAlignment="1" applyProtection="1">
      <alignment horizontal="right" vertical="center"/>
      <protection hidden="1"/>
    </xf>
    <xf numFmtId="1" fontId="39" fillId="5" borderId="0" xfId="0" applyNumberFormat="1" applyFont="1" applyFill="1" applyAlignment="1" applyProtection="1">
      <alignment vertical="center"/>
      <protection hidden="1"/>
    </xf>
    <xf numFmtId="1" fontId="39" fillId="5" borderId="19" xfId="0" applyNumberFormat="1" applyFont="1" applyFill="1" applyBorder="1" applyAlignment="1" applyProtection="1">
      <alignment vertical="center"/>
      <protection hidden="1"/>
    </xf>
    <xf numFmtId="1" fontId="38" fillId="5" borderId="31" xfId="0" applyNumberFormat="1" applyFont="1" applyFill="1" applyBorder="1" applyAlignment="1" applyProtection="1">
      <alignment horizontal="right" vertical="center"/>
      <protection hidden="1"/>
    </xf>
    <xf numFmtId="1" fontId="38" fillId="5" borderId="18" xfId="0" applyNumberFormat="1" applyFont="1" applyFill="1" applyBorder="1" applyAlignment="1" applyProtection="1">
      <alignment horizontal="right" vertical="center"/>
      <protection hidden="1"/>
    </xf>
    <xf numFmtId="1" fontId="38" fillId="5" borderId="46" xfId="0" applyNumberFormat="1" applyFont="1" applyFill="1" applyBorder="1" applyAlignment="1" applyProtection="1">
      <alignment horizontal="right" vertical="center"/>
      <protection hidden="1"/>
    </xf>
    <xf numFmtId="0" fontId="4" fillId="12" borderId="1" xfId="0" applyFont="1" applyFill="1" applyBorder="1" applyAlignment="1" applyProtection="1">
      <alignment horizontal="left" vertical="center"/>
      <protection locked="0"/>
    </xf>
    <xf numFmtId="1" fontId="38" fillId="5" borderId="45" xfId="0" applyNumberFormat="1" applyFont="1" applyFill="1" applyBorder="1" applyAlignment="1" applyProtection="1">
      <alignment horizontal="right" vertical="center"/>
      <protection hidden="1"/>
    </xf>
    <xf numFmtId="2" fontId="0" fillId="2" borderId="0" xfId="0" applyNumberFormat="1" applyFill="1" applyAlignment="1" applyProtection="1">
      <alignment horizontal="right" vertical="center"/>
      <protection hidden="1"/>
    </xf>
    <xf numFmtId="0" fontId="0" fillId="11" borderId="0" xfId="0" applyFill="1" applyProtection="1">
      <protection hidden="1"/>
    </xf>
    <xf numFmtId="167" fontId="34" fillId="0" borderId="32" xfId="0" applyNumberFormat="1" applyFont="1" applyBorder="1" applyAlignment="1" applyProtection="1">
      <alignment horizontal="right" vertical="center"/>
      <protection hidden="1"/>
    </xf>
    <xf numFmtId="2" fontId="4" fillId="11" borderId="29" xfId="0" applyNumberFormat="1" applyFont="1" applyFill="1" applyBorder="1" applyAlignment="1" applyProtection="1">
      <alignment horizontal="right" vertical="center"/>
      <protection hidden="1"/>
    </xf>
    <xf numFmtId="167" fontId="34" fillId="0" borderId="40" xfId="0" applyNumberFormat="1" applyFont="1" applyBorder="1" applyAlignment="1" applyProtection="1">
      <alignment horizontal="right" vertical="center"/>
      <protection hidden="1"/>
    </xf>
    <xf numFmtId="2" fontId="4" fillId="11" borderId="23" xfId="0" applyNumberFormat="1" applyFont="1" applyFill="1" applyBorder="1" applyAlignment="1" applyProtection="1">
      <alignment horizontal="right" vertical="center"/>
      <protection hidden="1"/>
    </xf>
    <xf numFmtId="0" fontId="19" fillId="14" borderId="64" xfId="0" applyFont="1" applyFill="1" applyBorder="1" applyAlignment="1" applyProtection="1">
      <alignment horizontal="center"/>
      <protection hidden="1"/>
    </xf>
    <xf numFmtId="2" fontId="34" fillId="14" borderId="23" xfId="2" applyNumberFormat="1" applyFont="1" applyFill="1" applyBorder="1" applyAlignment="1" applyProtection="1">
      <alignment horizontal="right" vertical="center"/>
      <protection hidden="1"/>
    </xf>
    <xf numFmtId="0" fontId="34" fillId="14" borderId="23" xfId="2" applyFont="1" applyFill="1" applyBorder="1" applyAlignment="1" applyProtection="1">
      <alignment horizontal="right" vertical="center"/>
      <protection hidden="1"/>
    </xf>
    <xf numFmtId="0" fontId="19" fillId="14" borderId="67" xfId="0" applyFont="1" applyFill="1" applyBorder="1" applyAlignment="1" applyProtection="1">
      <alignment horizontal="center" vertical="center"/>
      <protection hidden="1"/>
    </xf>
    <xf numFmtId="2" fontId="4" fillId="12" borderId="29" xfId="0" applyNumberFormat="1" applyFont="1" applyFill="1" applyBorder="1" applyAlignment="1" applyProtection="1">
      <alignment horizontal="right" vertical="center"/>
      <protection hidden="1"/>
    </xf>
    <xf numFmtId="3" fontId="19" fillId="12" borderId="18" xfId="0" applyNumberFormat="1" applyFont="1" applyFill="1" applyBorder="1" applyAlignment="1" applyProtection="1">
      <alignment horizontal="right" vertical="center"/>
      <protection hidden="1"/>
    </xf>
    <xf numFmtId="3" fontId="19" fillId="12" borderId="20" xfId="0" applyNumberFormat="1" applyFont="1" applyFill="1" applyBorder="1" applyAlignment="1" applyProtection="1">
      <alignment horizontal="right" vertical="center"/>
      <protection hidden="1"/>
    </xf>
    <xf numFmtId="3" fontId="19" fillId="12" borderId="6" xfId="0" applyNumberFormat="1" applyFont="1" applyFill="1" applyBorder="1" applyAlignment="1" applyProtection="1">
      <alignment horizontal="right" vertical="center"/>
      <protection hidden="1"/>
    </xf>
    <xf numFmtId="3" fontId="19" fillId="12" borderId="31" xfId="0" applyNumberFormat="1" applyFont="1" applyFill="1" applyBorder="1" applyAlignment="1" applyProtection="1">
      <alignment horizontal="right" vertical="center"/>
      <protection hidden="1"/>
    </xf>
    <xf numFmtId="2" fontId="4" fillId="12" borderId="23" xfId="0" applyNumberFormat="1" applyFont="1" applyFill="1" applyBorder="1" applyAlignment="1" applyProtection="1">
      <alignment horizontal="right" vertical="center"/>
      <protection hidden="1"/>
    </xf>
    <xf numFmtId="3" fontId="19" fillId="12" borderId="22" xfId="0" applyNumberFormat="1" applyFont="1" applyFill="1" applyBorder="1" applyAlignment="1" applyProtection="1">
      <alignment horizontal="right" vertical="center"/>
      <protection hidden="1"/>
    </xf>
    <xf numFmtId="3" fontId="19" fillId="12" borderId="25" xfId="0" applyNumberFormat="1" applyFont="1" applyFill="1" applyBorder="1" applyAlignment="1" applyProtection="1">
      <alignment horizontal="right" vertical="center"/>
      <protection hidden="1"/>
    </xf>
    <xf numFmtId="3" fontId="19" fillId="12" borderId="14" xfId="0" applyNumberFormat="1" applyFont="1" applyFill="1" applyBorder="1" applyAlignment="1" applyProtection="1">
      <alignment horizontal="right" vertical="center"/>
      <protection hidden="1"/>
    </xf>
    <xf numFmtId="3" fontId="34" fillId="5" borderId="20" xfId="0" applyNumberFormat="1" applyFont="1" applyFill="1" applyBorder="1" applyAlignment="1" applyProtection="1">
      <alignment horizontal="right" vertical="center"/>
      <protection hidden="1"/>
    </xf>
    <xf numFmtId="0" fontId="34" fillId="5" borderId="0" xfId="0" applyFont="1" applyFill="1" applyAlignment="1" applyProtection="1">
      <alignment horizontal="right" vertical="center"/>
      <protection hidden="1"/>
    </xf>
    <xf numFmtId="0" fontId="0" fillId="5" borderId="6" xfId="0" applyFill="1" applyBorder="1" applyProtection="1">
      <protection hidden="1"/>
    </xf>
    <xf numFmtId="0" fontId="43" fillId="5" borderId="13" xfId="0" applyFont="1" applyFill="1" applyBorder="1" applyAlignment="1" applyProtection="1">
      <alignment horizontal="center"/>
      <protection hidden="1"/>
    </xf>
    <xf numFmtId="0" fontId="0" fillId="5" borderId="72" xfId="0" applyFill="1" applyBorder="1" applyProtection="1">
      <protection hidden="1"/>
    </xf>
    <xf numFmtId="0" fontId="19" fillId="5" borderId="12" xfId="0" applyFont="1" applyFill="1" applyBorder="1" applyAlignment="1" applyProtection="1">
      <alignment horizontal="center"/>
      <protection hidden="1"/>
    </xf>
    <xf numFmtId="0" fontId="19" fillId="5" borderId="13" xfId="0" applyFont="1" applyFill="1" applyBorder="1" applyAlignment="1" applyProtection="1">
      <alignment horizontal="center"/>
      <protection hidden="1"/>
    </xf>
    <xf numFmtId="0" fontId="19" fillId="5" borderId="23" xfId="0" applyFont="1" applyFill="1" applyBorder="1" applyAlignment="1" applyProtection="1">
      <alignment horizontal="center" vertical="center"/>
      <protection hidden="1"/>
    </xf>
    <xf numFmtId="2" fontId="34" fillId="5" borderId="23" xfId="2" applyNumberFormat="1" applyFont="1" applyFill="1" applyBorder="1" applyAlignment="1" applyProtection="1">
      <alignment horizontal="center" vertical="center"/>
      <protection hidden="1"/>
    </xf>
    <xf numFmtId="0" fontId="34" fillId="5" borderId="23" xfId="2" applyFont="1" applyFill="1" applyBorder="1" applyAlignment="1" applyProtection="1">
      <alignment horizontal="center" vertical="center"/>
      <protection hidden="1"/>
    </xf>
    <xf numFmtId="0" fontId="34" fillId="5" borderId="24" xfId="2" applyFont="1" applyFill="1" applyBorder="1" applyAlignment="1" applyProtection="1">
      <alignment horizontal="center" vertical="center"/>
      <protection hidden="1"/>
    </xf>
    <xf numFmtId="0" fontId="19" fillId="5" borderId="25" xfId="0" applyFont="1" applyFill="1" applyBorder="1" applyAlignment="1" applyProtection="1">
      <alignment horizontal="center" vertical="center"/>
      <protection hidden="1"/>
    </xf>
    <xf numFmtId="0" fontId="19" fillId="5" borderId="13" xfId="0" applyFont="1" applyFill="1" applyBorder="1" applyAlignment="1" applyProtection="1">
      <alignment horizontal="center" vertical="center"/>
      <protection hidden="1"/>
    </xf>
    <xf numFmtId="0" fontId="19" fillId="5" borderId="14" xfId="0" applyFont="1" applyFill="1" applyBorder="1" applyAlignment="1" applyProtection="1">
      <alignment horizontal="center" vertical="center"/>
      <protection hidden="1"/>
    </xf>
    <xf numFmtId="167" fontId="44" fillId="5" borderId="27" xfId="0" applyNumberFormat="1" applyFont="1" applyFill="1" applyBorder="1" applyAlignment="1" applyProtection="1">
      <alignment horizontal="center"/>
      <protection hidden="1"/>
    </xf>
    <xf numFmtId="2" fontId="34" fillId="5" borderId="27" xfId="0" applyNumberFormat="1" applyFont="1" applyFill="1" applyBorder="1" applyAlignment="1" applyProtection="1">
      <alignment vertical="center"/>
      <protection hidden="1"/>
    </xf>
    <xf numFmtId="0" fontId="4" fillId="5" borderId="59" xfId="0" applyFont="1" applyFill="1" applyBorder="1" applyAlignment="1" applyProtection="1">
      <alignment horizontal="center" vertical="center"/>
      <protection hidden="1"/>
    </xf>
    <xf numFmtId="2" fontId="4" fillId="5" borderId="29" xfId="0" applyNumberFormat="1" applyFont="1" applyFill="1" applyBorder="1" applyAlignment="1" applyProtection="1">
      <alignment horizontal="center" vertical="center"/>
      <protection hidden="1"/>
    </xf>
    <xf numFmtId="167" fontId="44" fillId="5" borderId="32" xfId="0" applyNumberFormat="1" applyFont="1" applyFill="1" applyBorder="1" applyAlignment="1" applyProtection="1">
      <alignment horizontal="center"/>
      <protection hidden="1"/>
    </xf>
    <xf numFmtId="2" fontId="34" fillId="5" borderId="32" xfId="0" applyNumberFormat="1" applyFont="1" applyFill="1" applyBorder="1" applyAlignment="1" applyProtection="1">
      <alignment vertical="center"/>
      <protection hidden="1"/>
    </xf>
    <xf numFmtId="167" fontId="0" fillId="5" borderId="32" xfId="0" applyNumberFormat="1" applyFill="1" applyBorder="1" applyAlignment="1" applyProtection="1">
      <alignment horizontal="center"/>
      <protection hidden="1"/>
    </xf>
    <xf numFmtId="167" fontId="0" fillId="5" borderId="40" xfId="0" applyNumberFormat="1" applyFill="1" applyBorder="1" applyAlignment="1" applyProtection="1">
      <alignment horizontal="center"/>
      <protection hidden="1"/>
    </xf>
    <xf numFmtId="2" fontId="34" fillId="5" borderId="40" xfId="0" applyNumberFormat="1" applyFont="1" applyFill="1" applyBorder="1" applyAlignment="1" applyProtection="1">
      <alignment vertical="center"/>
      <protection hidden="1"/>
    </xf>
    <xf numFmtId="0" fontId="4" fillId="5" borderId="67" xfId="0" applyFont="1" applyFill="1" applyBorder="1" applyAlignment="1" applyProtection="1">
      <alignment horizontal="center" vertical="center"/>
      <protection hidden="1"/>
    </xf>
    <xf numFmtId="2" fontId="4" fillId="5" borderId="23" xfId="0" applyNumberFormat="1" applyFont="1" applyFill="1" applyBorder="1" applyAlignment="1" applyProtection="1">
      <alignment horizontal="center" vertical="center"/>
      <protection hidden="1"/>
    </xf>
    <xf numFmtId="2" fontId="4" fillId="5" borderId="24" xfId="0" applyNumberFormat="1" applyFont="1" applyFill="1" applyBorder="1" applyAlignment="1" applyProtection="1">
      <alignment horizontal="center" vertical="center"/>
      <protection hidden="1"/>
    </xf>
    <xf numFmtId="3" fontId="19" fillId="5" borderId="25" xfId="0" applyNumberFormat="1" applyFont="1" applyFill="1" applyBorder="1" applyAlignment="1" applyProtection="1">
      <alignment horizontal="right" vertical="center"/>
      <protection hidden="1"/>
    </xf>
    <xf numFmtId="3" fontId="19" fillId="5" borderId="22" xfId="0" applyNumberFormat="1" applyFont="1" applyFill="1" applyBorder="1" applyAlignment="1" applyProtection="1">
      <alignment horizontal="right" vertical="center"/>
      <protection hidden="1"/>
    </xf>
    <xf numFmtId="3" fontId="19" fillId="5" borderId="56" xfId="0" applyNumberFormat="1" applyFont="1" applyFill="1" applyBorder="1" applyAlignment="1" applyProtection="1">
      <alignment horizontal="right" vertical="center"/>
      <protection hidden="1"/>
    </xf>
    <xf numFmtId="0" fontId="4" fillId="5" borderId="12" xfId="0" applyFont="1" applyFill="1" applyBorder="1" applyAlignment="1" applyProtection="1">
      <alignment horizontal="left" vertical="center"/>
      <protection hidden="1"/>
    </xf>
    <xf numFmtId="0" fontId="33" fillId="5" borderId="74" xfId="0" applyFont="1" applyFill="1" applyBorder="1" applyAlignment="1" applyProtection="1">
      <alignment horizontal="center" vertical="center"/>
      <protection hidden="1"/>
    </xf>
    <xf numFmtId="0" fontId="33" fillId="5" borderId="11" xfId="0" applyFont="1" applyFill="1" applyBorder="1" applyAlignment="1" applyProtection="1">
      <alignment horizontal="center" vertical="center"/>
      <protection hidden="1"/>
    </xf>
    <xf numFmtId="0" fontId="33" fillId="5" borderId="0" xfId="0" applyFont="1" applyFill="1" applyAlignment="1" applyProtection="1">
      <alignment horizontal="center" vertical="center"/>
      <protection hidden="1"/>
    </xf>
    <xf numFmtId="0" fontId="19" fillId="5" borderId="25" xfId="0" applyFont="1" applyFill="1" applyBorder="1" applyAlignment="1" applyProtection="1">
      <alignment horizontal="center"/>
      <protection hidden="1"/>
    </xf>
    <xf numFmtId="0" fontId="19" fillId="5" borderId="23" xfId="0" applyFont="1" applyFill="1" applyBorder="1" applyAlignment="1" applyProtection="1">
      <alignment horizontal="center"/>
      <protection hidden="1"/>
    </xf>
    <xf numFmtId="0" fontId="19" fillId="5" borderId="14" xfId="0" applyFont="1" applyFill="1" applyBorder="1" applyAlignment="1" applyProtection="1">
      <alignment horizontal="center"/>
      <protection hidden="1"/>
    </xf>
    <xf numFmtId="171" fontId="44" fillId="5" borderId="27" xfId="0" applyNumberFormat="1" applyFont="1" applyFill="1" applyBorder="1" applyAlignment="1" applyProtection="1">
      <alignment horizontal="center" vertical="center"/>
      <protection hidden="1"/>
    </xf>
    <xf numFmtId="2" fontId="34" fillId="5" borderId="27" xfId="0" applyNumberFormat="1" applyFont="1" applyFill="1" applyBorder="1" applyAlignment="1" applyProtection="1">
      <alignment horizontal="right" vertical="center"/>
      <protection hidden="1"/>
    </xf>
    <xf numFmtId="2" fontId="0" fillId="5" borderId="28" xfId="0" applyNumberFormat="1" applyFill="1" applyBorder="1" applyAlignment="1" applyProtection="1">
      <alignment horizontal="right" vertical="center"/>
      <protection hidden="1"/>
    </xf>
    <xf numFmtId="2" fontId="4" fillId="5" borderId="59" xfId="0" applyNumberFormat="1" applyFont="1" applyFill="1" applyBorder="1" applyAlignment="1" applyProtection="1">
      <alignment horizontal="center" vertical="center"/>
      <protection hidden="1"/>
    </xf>
    <xf numFmtId="3" fontId="19" fillId="5" borderId="59" xfId="0" applyNumberFormat="1" applyFont="1" applyFill="1" applyBorder="1" applyAlignment="1" applyProtection="1">
      <alignment horizontal="right" vertical="center"/>
      <protection hidden="1"/>
    </xf>
    <xf numFmtId="3" fontId="19" fillId="5" borderId="0" xfId="0" applyNumberFormat="1" applyFont="1" applyFill="1" applyAlignment="1" applyProtection="1">
      <alignment horizontal="right" vertical="center"/>
      <protection hidden="1"/>
    </xf>
    <xf numFmtId="3" fontId="19" fillId="5" borderId="6" xfId="0" applyNumberFormat="1" applyFont="1" applyFill="1" applyBorder="1" applyAlignment="1" applyProtection="1">
      <alignment horizontal="right" vertical="center"/>
      <protection hidden="1"/>
    </xf>
    <xf numFmtId="171" fontId="44" fillId="5" borderId="32" xfId="0" applyNumberFormat="1" applyFont="1" applyFill="1" applyBorder="1" applyAlignment="1" applyProtection="1">
      <alignment horizontal="center" vertical="center"/>
      <protection hidden="1"/>
    </xf>
    <xf numFmtId="2" fontId="34" fillId="5" borderId="32" xfId="0" applyNumberFormat="1" applyFont="1" applyFill="1" applyBorder="1" applyAlignment="1" applyProtection="1">
      <alignment horizontal="right" vertical="center"/>
      <protection hidden="1"/>
    </xf>
    <xf numFmtId="169" fontId="0" fillId="5" borderId="33" xfId="0" applyNumberFormat="1" applyFill="1" applyBorder="1" applyAlignment="1" applyProtection="1">
      <alignment horizontal="right" vertical="center"/>
      <protection hidden="1"/>
    </xf>
    <xf numFmtId="171" fontId="44" fillId="5" borderId="40" xfId="0" applyNumberFormat="1" applyFont="1" applyFill="1" applyBorder="1" applyAlignment="1" applyProtection="1">
      <alignment horizontal="center" vertical="center"/>
      <protection hidden="1"/>
    </xf>
    <xf numFmtId="2" fontId="34" fillId="5" borderId="40" xfId="0" applyNumberFormat="1" applyFont="1" applyFill="1" applyBorder="1" applyAlignment="1" applyProtection="1">
      <alignment horizontal="right" vertical="center"/>
      <protection hidden="1"/>
    </xf>
    <xf numFmtId="169" fontId="0" fillId="5" borderId="41" xfId="0" applyNumberFormat="1" applyFill="1" applyBorder="1" applyAlignment="1" applyProtection="1">
      <alignment horizontal="right" vertical="center"/>
      <protection hidden="1"/>
    </xf>
    <xf numFmtId="2" fontId="4" fillId="5" borderId="67" xfId="0" applyNumberFormat="1" applyFont="1" applyFill="1" applyBorder="1" applyAlignment="1" applyProtection="1">
      <alignment horizontal="center" vertical="center"/>
      <protection hidden="1"/>
    </xf>
    <xf numFmtId="3" fontId="19" fillId="5" borderId="55" xfId="0" applyNumberFormat="1" applyFont="1" applyFill="1" applyBorder="1" applyAlignment="1" applyProtection="1">
      <alignment horizontal="right" vertical="center"/>
      <protection hidden="1"/>
    </xf>
    <xf numFmtId="3" fontId="19" fillId="5" borderId="67" xfId="0" applyNumberFormat="1" applyFont="1" applyFill="1" applyBorder="1" applyAlignment="1" applyProtection="1">
      <alignment horizontal="right" vertical="center"/>
      <protection hidden="1"/>
    </xf>
    <xf numFmtId="3" fontId="19" fillId="5" borderId="13" xfId="0" applyNumberFormat="1" applyFont="1" applyFill="1" applyBorder="1" applyAlignment="1" applyProtection="1">
      <alignment horizontal="right" vertical="center"/>
      <protection hidden="1"/>
    </xf>
    <xf numFmtId="3" fontId="19" fillId="5" borderId="14" xfId="0" applyNumberFormat="1" applyFont="1" applyFill="1" applyBorder="1" applyAlignment="1" applyProtection="1">
      <alignment horizontal="right" vertical="center"/>
      <protection hidden="1"/>
    </xf>
    <xf numFmtId="0" fontId="4" fillId="5" borderId="13" xfId="0" applyFont="1" applyFill="1" applyBorder="1" applyAlignment="1" applyProtection="1">
      <alignment horizontal="left" vertical="center"/>
      <protection hidden="1"/>
    </xf>
    <xf numFmtId="2" fontId="34" fillId="5" borderId="22" xfId="0" applyNumberFormat="1" applyFont="1" applyFill="1" applyBorder="1" applyAlignment="1" applyProtection="1">
      <alignment horizontal="right" vertical="center"/>
      <protection hidden="1"/>
    </xf>
    <xf numFmtId="169" fontId="34" fillId="5" borderId="23" xfId="0" applyNumberFormat="1" applyFont="1" applyFill="1" applyBorder="1" applyAlignment="1" applyProtection="1">
      <alignment horizontal="right" vertical="center"/>
      <protection hidden="1"/>
    </xf>
    <xf numFmtId="0" fontId="0" fillId="5" borderId="13" xfId="0" applyFill="1" applyBorder="1" applyProtection="1">
      <protection hidden="1"/>
    </xf>
    <xf numFmtId="3" fontId="34" fillId="5" borderId="25" xfId="0" applyNumberFormat="1" applyFont="1" applyFill="1" applyBorder="1" applyAlignment="1" applyProtection="1">
      <alignment horizontal="right" vertical="center"/>
      <protection hidden="1"/>
    </xf>
    <xf numFmtId="3" fontId="34" fillId="5" borderId="12" xfId="0" applyNumberFormat="1" applyFont="1" applyFill="1" applyBorder="1" applyAlignment="1" applyProtection="1">
      <alignment horizontal="right" vertical="center"/>
      <protection hidden="1"/>
    </xf>
    <xf numFmtId="3" fontId="34" fillId="5" borderId="77" xfId="0" applyNumberFormat="1" applyFont="1" applyFill="1" applyBorder="1" applyAlignment="1" applyProtection="1">
      <alignment horizontal="right" vertical="center"/>
      <protection hidden="1"/>
    </xf>
    <xf numFmtId="169" fontId="34" fillId="5" borderId="0" xfId="0" applyNumberFormat="1" applyFont="1" applyFill="1" applyAlignment="1" applyProtection="1">
      <alignment horizontal="right" vertical="center"/>
      <protection hidden="1"/>
    </xf>
    <xf numFmtId="0" fontId="0" fillId="0" borderId="0" xfId="0" applyAlignment="1" applyProtection="1">
      <alignment vertical="center"/>
      <protection hidden="1"/>
    </xf>
    <xf numFmtId="2" fontId="41" fillId="14" borderId="79" xfId="2" applyNumberFormat="1" applyFont="1" applyFill="1" applyBorder="1" applyAlignment="1" applyProtection="1">
      <alignment horizontal="center" vertical="center"/>
      <protection hidden="1"/>
    </xf>
    <xf numFmtId="0" fontId="41" fillId="14" borderId="79" xfId="2" applyFont="1" applyFill="1" applyBorder="1" applyAlignment="1" applyProtection="1">
      <alignment horizontal="center" vertical="center"/>
      <protection hidden="1"/>
    </xf>
    <xf numFmtId="0" fontId="45" fillId="5" borderId="80" xfId="0" applyFont="1" applyFill="1" applyBorder="1" applyAlignment="1" applyProtection="1">
      <alignment horizontal="left" vertical="top"/>
      <protection hidden="1"/>
    </xf>
    <xf numFmtId="0" fontId="45" fillId="5" borderId="81" xfId="0" applyFont="1" applyFill="1" applyBorder="1" applyAlignment="1" applyProtection="1">
      <alignment horizontal="left" vertical="top"/>
      <protection hidden="1"/>
    </xf>
    <xf numFmtId="0" fontId="0" fillId="5" borderId="81" xfId="0" applyFill="1" applyBorder="1" applyProtection="1">
      <protection hidden="1"/>
    </xf>
    <xf numFmtId="0" fontId="4" fillId="5" borderId="81" xfId="0" applyFont="1" applyFill="1" applyBorder="1" applyProtection="1">
      <protection hidden="1"/>
    </xf>
    <xf numFmtId="0" fontId="0" fillId="0" borderId="10" xfId="0" applyBorder="1" applyProtection="1">
      <protection hidden="1"/>
    </xf>
    <xf numFmtId="3" fontId="46" fillId="4" borderId="82" xfId="0" applyNumberFormat="1" applyFont="1" applyFill="1" applyBorder="1" applyAlignment="1" applyProtection="1">
      <alignment horizontal="center" vertical="center"/>
      <protection hidden="1"/>
    </xf>
    <xf numFmtId="3" fontId="46" fillId="8" borderId="82" xfId="0" applyNumberFormat="1" applyFont="1" applyFill="1" applyBorder="1" applyAlignment="1" applyProtection="1">
      <alignment horizontal="center" vertical="center"/>
      <protection hidden="1"/>
    </xf>
    <xf numFmtId="3" fontId="46" fillId="9" borderId="82" xfId="0" applyNumberFormat="1" applyFont="1" applyFill="1" applyBorder="1" applyAlignment="1" applyProtection="1">
      <alignment horizontal="center" vertical="center"/>
      <protection hidden="1"/>
    </xf>
    <xf numFmtId="0" fontId="45" fillId="5" borderId="7" xfId="0" applyFont="1" applyFill="1" applyBorder="1" applyAlignment="1" applyProtection="1">
      <alignment horizontal="left" vertical="top"/>
      <protection hidden="1"/>
    </xf>
    <xf numFmtId="0" fontId="0" fillId="5" borderId="7" xfId="0" applyFill="1" applyBorder="1" applyProtection="1">
      <protection hidden="1"/>
    </xf>
    <xf numFmtId="0" fontId="4" fillId="5" borderId="7" xfId="0" applyFont="1" applyFill="1" applyBorder="1" applyProtection="1">
      <protection hidden="1"/>
    </xf>
    <xf numFmtId="0" fontId="33" fillId="5" borderId="7"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3" fontId="46" fillId="5" borderId="7" xfId="0" applyNumberFormat="1" applyFont="1" applyFill="1" applyBorder="1" applyAlignment="1" applyProtection="1">
      <alignment horizontal="center" vertical="center"/>
      <protection hidden="1"/>
    </xf>
    <xf numFmtId="0" fontId="45" fillId="5" borderId="0" xfId="0" applyFont="1" applyFill="1" applyAlignment="1" applyProtection="1">
      <alignment horizontal="left" vertical="top"/>
      <protection hidden="1"/>
    </xf>
    <xf numFmtId="0" fontId="33" fillId="5" borderId="0" xfId="0" applyFont="1" applyFill="1" applyAlignment="1" applyProtection="1">
      <alignment horizontal="right" vertical="center"/>
      <protection hidden="1"/>
    </xf>
    <xf numFmtId="0" fontId="4" fillId="5" borderId="0" xfId="0" applyFont="1" applyFill="1" applyAlignment="1" applyProtection="1">
      <alignment horizontal="right" vertical="center"/>
      <protection hidden="1"/>
    </xf>
    <xf numFmtId="3" fontId="46" fillId="5" borderId="0" xfId="0" applyNumberFormat="1" applyFont="1" applyFill="1" applyAlignment="1" applyProtection="1">
      <alignment horizontal="center" vertical="center"/>
      <protection hidden="1"/>
    </xf>
    <xf numFmtId="2" fontId="41" fillId="14" borderId="5" xfId="2" applyNumberFormat="1" applyFont="1" applyFill="1" applyBorder="1" applyAlignment="1" applyProtection="1">
      <alignment horizontal="center" vertical="center"/>
      <protection hidden="1"/>
    </xf>
    <xf numFmtId="0" fontId="41" fillId="14" borderId="5" xfId="2" applyFont="1" applyFill="1" applyBorder="1" applyAlignment="1" applyProtection="1">
      <alignment horizontal="center" vertical="center"/>
      <protection hidden="1"/>
    </xf>
    <xf numFmtId="0" fontId="45" fillId="5" borderId="4" xfId="0" applyFont="1" applyFill="1" applyBorder="1" applyAlignment="1" applyProtection="1">
      <alignment horizontal="left" vertical="top"/>
      <protection hidden="1"/>
    </xf>
    <xf numFmtId="3" fontId="46" fillId="6" borderId="5" xfId="0" applyNumberFormat="1" applyFont="1" applyFill="1" applyBorder="1" applyAlignment="1" applyProtection="1">
      <alignment horizontal="center" vertical="center"/>
      <protection hidden="1"/>
    </xf>
    <xf numFmtId="3" fontId="46" fillId="8" borderId="5" xfId="0" applyNumberFormat="1" applyFont="1" applyFill="1" applyBorder="1" applyAlignment="1" applyProtection="1">
      <alignment horizontal="center" vertical="center"/>
      <protection hidden="1"/>
    </xf>
    <xf numFmtId="0" fontId="0" fillId="0" borderId="0" xfId="0" applyProtection="1">
      <protection locked="0"/>
    </xf>
    <xf numFmtId="0" fontId="0" fillId="13" borderId="0" xfId="0" applyFill="1" applyProtection="1">
      <protection locked="0"/>
    </xf>
    <xf numFmtId="0" fontId="0" fillId="2" borderId="0" xfId="0" applyFill="1" applyProtection="1">
      <protection locked="0"/>
    </xf>
    <xf numFmtId="0" fontId="43" fillId="2" borderId="0" xfId="2" applyFont="1" applyFill="1" applyAlignment="1" applyProtection="1">
      <alignment vertical="center"/>
      <protection locked="0"/>
    </xf>
    <xf numFmtId="0" fontId="1" fillId="2" borderId="0" xfId="2" applyFont="1" applyFill="1" applyAlignment="1" applyProtection="1">
      <alignment vertical="center"/>
      <protection hidden="1"/>
    </xf>
    <xf numFmtId="0" fontId="1" fillId="2" borderId="0" xfId="2" applyFont="1" applyFill="1" applyAlignment="1" applyProtection="1">
      <alignment vertical="center" wrapText="1"/>
      <protection locked="0"/>
    </xf>
    <xf numFmtId="0" fontId="1" fillId="2" borderId="0" xfId="2" applyFont="1" applyFill="1" applyAlignment="1" applyProtection="1">
      <alignment vertical="center"/>
      <protection locked="0"/>
    </xf>
    <xf numFmtId="0" fontId="0" fillId="11" borderId="0" xfId="0" applyFill="1" applyProtection="1">
      <protection locked="0"/>
    </xf>
    <xf numFmtId="0" fontId="11" fillId="2" borderId="0" xfId="2" applyFont="1" applyFill="1" applyAlignment="1" applyProtection="1">
      <alignment horizontal="left" vertical="center"/>
      <protection locked="0"/>
    </xf>
    <xf numFmtId="0" fontId="37" fillId="2" borderId="0" xfId="2" applyFont="1" applyFill="1" applyAlignment="1" applyProtection="1">
      <alignment horizontal="left" vertical="center"/>
      <protection locked="0"/>
    </xf>
    <xf numFmtId="0" fontId="37" fillId="2" borderId="0" xfId="2" applyFont="1" applyFill="1" applyAlignment="1" applyProtection="1">
      <alignment horizontal="center" vertical="center"/>
      <protection locked="0"/>
    </xf>
    <xf numFmtId="2" fontId="37" fillId="2" borderId="0" xfId="2" applyNumberFormat="1" applyFont="1" applyFill="1" applyAlignment="1" applyProtection="1">
      <alignment horizontal="center" vertical="center"/>
      <protection locked="0"/>
    </xf>
    <xf numFmtId="0" fontId="34" fillId="2" borderId="0" xfId="2" applyFont="1" applyFill="1" applyAlignment="1" applyProtection="1">
      <alignment vertical="center"/>
      <protection locked="0"/>
    </xf>
    <xf numFmtId="0" fontId="43" fillId="2" borderId="0" xfId="2" applyFont="1" applyFill="1" applyAlignment="1" applyProtection="1">
      <alignment vertical="center"/>
      <protection hidden="1"/>
    </xf>
    <xf numFmtId="0" fontId="43" fillId="2" borderId="0" xfId="2" applyFont="1" applyFill="1" applyAlignment="1" applyProtection="1">
      <alignment vertical="center" wrapText="1"/>
      <protection locked="0"/>
    </xf>
    <xf numFmtId="0" fontId="1" fillId="2" borderId="0" xfId="2" applyFont="1" applyFill="1" applyProtection="1">
      <protection locked="0"/>
    </xf>
    <xf numFmtId="0" fontId="43" fillId="6" borderId="1" xfId="2" applyFont="1" applyFill="1" applyBorder="1" applyAlignment="1" applyProtection="1">
      <alignment vertical="center" wrapText="1"/>
      <protection hidden="1"/>
    </xf>
    <xf numFmtId="0" fontId="1" fillId="6" borderId="2" xfId="2" applyFont="1" applyFill="1" applyBorder="1" applyAlignment="1" applyProtection="1">
      <alignment vertical="center" wrapText="1"/>
      <protection hidden="1"/>
    </xf>
    <xf numFmtId="0" fontId="1" fillId="6" borderId="2" xfId="2" applyFont="1" applyFill="1" applyBorder="1" applyAlignment="1" applyProtection="1">
      <alignment vertical="center"/>
      <protection hidden="1"/>
    </xf>
    <xf numFmtId="0" fontId="1" fillId="6" borderId="2" xfId="2" applyFont="1" applyFill="1" applyBorder="1" applyProtection="1">
      <protection hidden="1"/>
    </xf>
    <xf numFmtId="0" fontId="1" fillId="6" borderId="3" xfId="2" applyFont="1" applyFill="1" applyBorder="1" applyProtection="1">
      <protection hidden="1"/>
    </xf>
    <xf numFmtId="0" fontId="37" fillId="2" borderId="0" xfId="2" applyFont="1" applyFill="1" applyAlignment="1" applyProtection="1">
      <alignment vertical="center"/>
      <protection locked="0"/>
    </xf>
    <xf numFmtId="0" fontId="43" fillId="2" borderId="0" xfId="2" applyFont="1" applyFill="1" applyAlignment="1" applyProtection="1">
      <alignment horizontal="center" vertical="center"/>
      <protection locked="0"/>
    </xf>
    <xf numFmtId="2" fontId="1" fillId="2" borderId="0" xfId="2" applyNumberFormat="1" applyFont="1" applyFill="1" applyAlignment="1" applyProtection="1">
      <alignment horizontal="center"/>
      <protection locked="0"/>
    </xf>
    <xf numFmtId="0" fontId="43" fillId="3" borderId="1" xfId="2" applyFont="1" applyFill="1" applyBorder="1" applyAlignment="1" applyProtection="1">
      <alignment vertical="center"/>
      <protection hidden="1"/>
    </xf>
    <xf numFmtId="0" fontId="1" fillId="3" borderId="2" xfId="2" applyFont="1" applyFill="1" applyBorder="1" applyAlignment="1" applyProtection="1">
      <alignment horizontal="center"/>
      <protection hidden="1"/>
    </xf>
    <xf numFmtId="0" fontId="0" fillId="3" borderId="2" xfId="0" applyFill="1" applyBorder="1" applyProtection="1">
      <protection hidden="1"/>
    </xf>
    <xf numFmtId="0" fontId="0" fillId="3" borderId="3" xfId="0" applyFill="1" applyBorder="1" applyProtection="1">
      <protection hidden="1"/>
    </xf>
    <xf numFmtId="0" fontId="43" fillId="0" borderId="0" xfId="2" applyFont="1" applyAlignment="1" applyProtection="1">
      <alignment vertical="center"/>
      <protection locked="0"/>
    </xf>
    <xf numFmtId="0" fontId="0" fillId="8" borderId="2" xfId="0" applyFill="1" applyBorder="1" applyProtection="1">
      <protection locked="0"/>
    </xf>
    <xf numFmtId="0" fontId="0" fillId="8" borderId="3" xfId="0" applyFill="1" applyBorder="1" applyProtection="1">
      <protection locked="0"/>
    </xf>
    <xf numFmtId="0" fontId="0" fillId="0" borderId="74" xfId="0" applyBorder="1" applyAlignment="1">
      <alignment horizontal="center"/>
    </xf>
    <xf numFmtId="0" fontId="0" fillId="0" borderId="72" xfId="0" applyBorder="1" applyAlignment="1">
      <alignment horizontal="center"/>
    </xf>
    <xf numFmtId="0" fontId="43" fillId="11" borderId="0" xfId="2" applyFont="1" applyFill="1" applyAlignment="1" applyProtection="1">
      <alignment vertical="center"/>
      <protection locked="0"/>
    </xf>
    <xf numFmtId="0" fontId="43" fillId="9" borderId="11" xfId="2" applyFont="1" applyFill="1" applyBorder="1" applyAlignment="1" applyProtection="1">
      <alignment vertical="center"/>
      <protection hidden="1"/>
    </xf>
    <xf numFmtId="0" fontId="0" fillId="9" borderId="74" xfId="0" applyFill="1" applyBorder="1" applyProtection="1">
      <protection hidden="1"/>
    </xf>
    <xf numFmtId="0" fontId="0" fillId="9" borderId="72" xfId="0" applyFill="1" applyBorder="1" applyProtection="1">
      <protection hidden="1"/>
    </xf>
    <xf numFmtId="0" fontId="43" fillId="4" borderId="11" xfId="2" applyFont="1" applyFill="1" applyBorder="1" applyAlignment="1" applyProtection="1">
      <alignment vertical="center"/>
      <protection hidden="1"/>
    </xf>
    <xf numFmtId="0" fontId="1" fillId="4" borderId="74" xfId="2" applyFont="1" applyFill="1" applyBorder="1" applyProtection="1">
      <protection hidden="1"/>
    </xf>
    <xf numFmtId="0" fontId="1" fillId="4" borderId="74" xfId="2" applyFont="1" applyFill="1" applyBorder="1" applyAlignment="1" applyProtection="1">
      <alignment horizontal="center"/>
      <protection hidden="1"/>
    </xf>
    <xf numFmtId="0" fontId="1" fillId="4" borderId="72" xfId="2" applyFont="1" applyFill="1" applyBorder="1" applyProtection="1">
      <protection hidden="1"/>
    </xf>
    <xf numFmtId="0" fontId="1" fillId="2" borderId="1" xfId="2" applyFont="1" applyFill="1" applyBorder="1" applyProtection="1">
      <protection locked="0"/>
    </xf>
    <xf numFmtId="0" fontId="0" fillId="6" borderId="2" xfId="0" applyFill="1" applyBorder="1" applyProtection="1">
      <protection hidden="1"/>
    </xf>
    <xf numFmtId="0" fontId="47" fillId="0" borderId="0" xfId="2" applyFont="1" applyAlignment="1" applyProtection="1">
      <alignment vertical="center"/>
      <protection locked="0"/>
    </xf>
    <xf numFmtId="0" fontId="1" fillId="8" borderId="13" xfId="2" applyFont="1" applyFill="1" applyBorder="1" applyProtection="1">
      <protection locked="0"/>
    </xf>
    <xf numFmtId="0" fontId="1" fillId="8" borderId="14" xfId="2" applyFont="1" applyFill="1" applyBorder="1" applyProtection="1">
      <protection locked="0"/>
    </xf>
    <xf numFmtId="0" fontId="0" fillId="2" borderId="1" xfId="0" applyFill="1" applyBorder="1" applyProtection="1">
      <protection locked="0"/>
    </xf>
    <xf numFmtId="0" fontId="47" fillId="15" borderId="4" xfId="0" applyFont="1" applyFill="1" applyBorder="1" applyAlignment="1" applyProtection="1">
      <alignment horizontal="center" wrapText="1"/>
      <protection hidden="1"/>
    </xf>
    <xf numFmtId="0" fontId="41" fillId="15" borderId="6" xfId="2" applyFont="1" applyFill="1" applyBorder="1" applyAlignment="1" applyProtection="1">
      <alignment horizontal="center" vertical="center"/>
      <protection hidden="1"/>
    </xf>
    <xf numFmtId="0" fontId="34" fillId="0" borderId="1" xfId="2" applyFont="1" applyBorder="1" applyAlignment="1" applyProtection="1">
      <alignment horizontal="center" vertical="center"/>
      <protection locked="0"/>
    </xf>
    <xf numFmtId="0" fontId="48" fillId="10" borderId="1" xfId="0" applyFont="1" applyFill="1" applyBorder="1" applyAlignment="1" applyProtection="1">
      <alignment horizontal="center"/>
      <protection hidden="1"/>
    </xf>
    <xf numFmtId="0" fontId="34" fillId="10" borderId="3" xfId="2" applyFont="1" applyFill="1" applyBorder="1" applyAlignment="1" applyProtection="1">
      <alignment horizontal="center" wrapText="1"/>
      <protection hidden="1"/>
    </xf>
    <xf numFmtId="0" fontId="41" fillId="11" borderId="1" xfId="2" applyFont="1" applyFill="1" applyBorder="1" applyAlignment="1" applyProtection="1">
      <alignment horizontal="center" vertical="center"/>
      <protection locked="0"/>
    </xf>
    <xf numFmtId="0" fontId="41" fillId="10" borderId="3" xfId="2" applyFont="1" applyFill="1" applyBorder="1" applyAlignment="1" applyProtection="1">
      <alignment horizontal="center" wrapText="1"/>
      <protection hidden="1"/>
    </xf>
    <xf numFmtId="0" fontId="38" fillId="0" borderId="1" xfId="2" applyFont="1" applyBorder="1" applyAlignment="1" applyProtection="1">
      <alignment horizontal="center" vertical="center"/>
      <protection locked="0"/>
    </xf>
    <xf numFmtId="0" fontId="48" fillId="9" borderId="1" xfId="0" applyFont="1" applyFill="1" applyBorder="1" applyAlignment="1" applyProtection="1">
      <alignment horizontal="center" wrapText="1"/>
      <protection hidden="1"/>
    </xf>
    <xf numFmtId="0" fontId="38" fillId="9" borderId="3" xfId="2" applyFont="1" applyFill="1" applyBorder="1" applyAlignment="1" applyProtection="1">
      <alignment horizontal="center" wrapText="1"/>
      <protection hidden="1"/>
    </xf>
    <xf numFmtId="0" fontId="37" fillId="0" borderId="1" xfId="0" applyFont="1" applyBorder="1" applyProtection="1">
      <protection locked="0"/>
    </xf>
    <xf numFmtId="0" fontId="37" fillId="4" borderId="2" xfId="0" applyFont="1" applyFill="1" applyBorder="1" applyProtection="1">
      <protection hidden="1"/>
    </xf>
    <xf numFmtId="0" fontId="34" fillId="2" borderId="4" xfId="2" applyFont="1" applyFill="1" applyBorder="1" applyAlignment="1" applyProtection="1">
      <alignment horizontal="center" wrapText="1"/>
      <protection locked="0"/>
    </xf>
    <xf numFmtId="0" fontId="41" fillId="6" borderId="77" xfId="2" applyFont="1" applyFill="1" applyBorder="1" applyAlignment="1" applyProtection="1">
      <alignment horizontal="center"/>
      <protection hidden="1"/>
    </xf>
    <xf numFmtId="0" fontId="41" fillId="6" borderId="6" xfId="2" applyFont="1" applyFill="1" applyBorder="1" applyAlignment="1" applyProtection="1">
      <alignment horizontal="center" wrapText="1"/>
      <protection hidden="1"/>
    </xf>
    <xf numFmtId="0" fontId="34" fillId="6" borderId="77" xfId="2" applyFont="1" applyFill="1" applyBorder="1" applyAlignment="1" applyProtection="1">
      <alignment horizontal="center" wrapText="1"/>
      <protection hidden="1"/>
    </xf>
    <xf numFmtId="0" fontId="34" fillId="6" borderId="8" xfId="2" applyFont="1" applyFill="1" applyBorder="1" applyAlignment="1" applyProtection="1">
      <alignment horizontal="center" wrapText="1"/>
      <protection hidden="1"/>
    </xf>
    <xf numFmtId="0" fontId="34" fillId="6" borderId="4" xfId="2" applyFont="1" applyFill="1" applyBorder="1" applyAlignment="1" applyProtection="1">
      <alignment horizontal="center" wrapText="1"/>
      <protection hidden="1"/>
    </xf>
    <xf numFmtId="0" fontId="34" fillId="6" borderId="14" xfId="2" applyFont="1" applyFill="1" applyBorder="1" applyAlignment="1" applyProtection="1">
      <alignment horizontal="center"/>
      <protection hidden="1"/>
    </xf>
    <xf numFmtId="0" fontId="34" fillId="2" borderId="11" xfId="2" applyFont="1" applyFill="1" applyBorder="1" applyAlignment="1" applyProtection="1">
      <alignment horizontal="center" wrapText="1"/>
      <protection locked="0"/>
    </xf>
    <xf numFmtId="0" fontId="41" fillId="3" borderId="9" xfId="2" applyFont="1" applyFill="1" applyBorder="1" applyAlignment="1" applyProtection="1">
      <alignment horizontal="center" wrapText="1"/>
      <protection hidden="1"/>
    </xf>
    <xf numFmtId="0" fontId="34" fillId="3" borderId="72" xfId="2" applyFont="1" applyFill="1" applyBorder="1" applyAlignment="1" applyProtection="1">
      <alignment horizontal="center" vertical="center" wrapText="1"/>
      <protection hidden="1"/>
    </xf>
    <xf numFmtId="0" fontId="34" fillId="0" borderId="11" xfId="2" applyFont="1" applyBorder="1" applyAlignment="1" applyProtection="1">
      <alignment horizontal="center" wrapText="1"/>
      <protection locked="0"/>
    </xf>
    <xf numFmtId="0" fontId="41" fillId="8" borderId="72" xfId="2" applyFont="1" applyFill="1" applyBorder="1" applyAlignment="1" applyProtection="1">
      <alignment horizontal="center" vertical="center" wrapText="1"/>
      <protection hidden="1"/>
    </xf>
    <xf numFmtId="0" fontId="41" fillId="8" borderId="72" xfId="2" applyFont="1" applyFill="1" applyBorder="1" applyAlignment="1" applyProtection="1">
      <alignment horizontal="center" vertical="center"/>
      <protection hidden="1"/>
    </xf>
    <xf numFmtId="0" fontId="41" fillId="8" borderId="9" xfId="2" applyFont="1" applyFill="1" applyBorder="1" applyAlignment="1" applyProtection="1">
      <alignment horizontal="center" vertical="center"/>
      <protection hidden="1"/>
    </xf>
    <xf numFmtId="0" fontId="41" fillId="15" borderId="6" xfId="2" applyFont="1" applyFill="1" applyBorder="1" applyAlignment="1" applyProtection="1">
      <alignment horizontal="center" wrapText="1"/>
      <protection hidden="1"/>
    </xf>
    <xf numFmtId="0" fontId="34" fillId="0" borderId="12" xfId="2" applyFont="1" applyBorder="1" applyAlignment="1" applyProtection="1">
      <alignment horizontal="center" wrapText="1"/>
      <protection locked="0"/>
    </xf>
    <xf numFmtId="0" fontId="41" fillId="10" borderId="77" xfId="2" applyFont="1" applyFill="1" applyBorder="1" applyAlignment="1" applyProtection="1">
      <alignment horizontal="center"/>
      <protection hidden="1"/>
    </xf>
    <xf numFmtId="0" fontId="34" fillId="10" borderId="14" xfId="2" applyFont="1" applyFill="1" applyBorder="1" applyAlignment="1" applyProtection="1">
      <alignment horizontal="center" wrapText="1"/>
      <protection hidden="1"/>
    </xf>
    <xf numFmtId="2" fontId="34" fillId="10" borderId="67" xfId="2" applyNumberFormat="1" applyFont="1" applyFill="1" applyBorder="1" applyAlignment="1" applyProtection="1">
      <alignment horizontal="center" wrapText="1"/>
      <protection hidden="1"/>
    </xf>
    <xf numFmtId="0" fontId="34" fillId="10" borderId="23" xfId="2" applyFont="1" applyFill="1" applyBorder="1" applyAlignment="1" applyProtection="1">
      <alignment horizontal="center" wrapText="1"/>
      <protection hidden="1"/>
    </xf>
    <xf numFmtId="0" fontId="34" fillId="10" borderId="56" xfId="2" applyFont="1" applyFill="1" applyBorder="1" applyAlignment="1" applyProtection="1">
      <alignment horizontal="center" wrapText="1"/>
      <protection hidden="1"/>
    </xf>
    <xf numFmtId="2" fontId="34" fillId="10" borderId="21" xfId="2" applyNumberFormat="1" applyFont="1" applyFill="1" applyBorder="1" applyAlignment="1" applyProtection="1">
      <alignment horizontal="center"/>
      <protection hidden="1"/>
    </xf>
    <xf numFmtId="0" fontId="34" fillId="10" borderId="23" xfId="2" applyFont="1" applyFill="1" applyBorder="1" applyAlignment="1" applyProtection="1">
      <alignment horizontal="center"/>
      <protection hidden="1"/>
    </xf>
    <xf numFmtId="2" fontId="34" fillId="10" borderId="56" xfId="2" applyNumberFormat="1" applyFont="1" applyFill="1" applyBorder="1" applyAlignment="1" applyProtection="1">
      <alignment horizontal="center"/>
      <protection hidden="1"/>
    </xf>
    <xf numFmtId="0" fontId="34" fillId="11" borderId="12" xfId="2" applyFont="1" applyFill="1" applyBorder="1" applyAlignment="1" applyProtection="1">
      <alignment horizontal="center" wrapText="1"/>
      <protection locked="0"/>
    </xf>
    <xf numFmtId="0" fontId="41" fillId="10" borderId="14" xfId="2" applyFont="1" applyFill="1" applyBorder="1" applyAlignment="1" applyProtection="1">
      <alignment horizontal="center" vertical="center" wrapText="1"/>
      <protection hidden="1"/>
    </xf>
    <xf numFmtId="2" fontId="41" fillId="10" borderId="14" xfId="2" applyNumberFormat="1" applyFont="1" applyFill="1" applyBorder="1" applyAlignment="1" applyProtection="1">
      <alignment horizontal="center"/>
      <protection hidden="1"/>
    </xf>
    <xf numFmtId="0" fontId="41" fillId="10" borderId="14" xfId="2" applyFont="1" applyFill="1" applyBorder="1" applyAlignment="1" applyProtection="1">
      <alignment horizontal="center"/>
      <protection hidden="1"/>
    </xf>
    <xf numFmtId="0" fontId="38" fillId="0" borderId="12" xfId="2" applyFont="1" applyBorder="1" applyAlignment="1" applyProtection="1">
      <alignment horizontal="center" wrapText="1"/>
      <protection locked="0"/>
    </xf>
    <xf numFmtId="0" fontId="38" fillId="9" borderId="77" xfId="2" applyFont="1" applyFill="1" applyBorder="1" applyAlignment="1" applyProtection="1">
      <alignment horizontal="center"/>
      <protection hidden="1"/>
    </xf>
    <xf numFmtId="0" fontId="38" fillId="9" borderId="14" xfId="2" applyFont="1" applyFill="1" applyBorder="1" applyAlignment="1" applyProtection="1">
      <alignment horizontal="center" vertical="center" wrapText="1"/>
      <protection hidden="1"/>
    </xf>
    <xf numFmtId="2" fontId="38" fillId="9" borderId="77" xfId="2" applyNumberFormat="1" applyFont="1" applyFill="1" applyBorder="1" applyAlignment="1" applyProtection="1">
      <alignment horizontal="center"/>
      <protection hidden="1"/>
    </xf>
    <xf numFmtId="0" fontId="38" fillId="9" borderId="14" xfId="2" applyFont="1" applyFill="1" applyBorder="1" applyAlignment="1" applyProtection="1">
      <alignment horizontal="center"/>
      <protection hidden="1"/>
    </xf>
    <xf numFmtId="0" fontId="41" fillId="4" borderId="14" xfId="2" applyFont="1" applyFill="1" applyBorder="1" applyAlignment="1" applyProtection="1">
      <alignment horizontal="center" vertical="center" wrapText="1"/>
      <protection hidden="1"/>
    </xf>
    <xf numFmtId="0" fontId="41" fillId="4" borderId="14" xfId="2" applyFont="1" applyFill="1" applyBorder="1" applyAlignment="1" applyProtection="1">
      <alignment horizontal="center"/>
      <protection hidden="1"/>
    </xf>
    <xf numFmtId="0" fontId="37" fillId="2" borderId="11" xfId="2" applyFont="1" applyFill="1" applyBorder="1" applyAlignment="1" applyProtection="1">
      <alignment horizontal="center"/>
      <protection locked="0"/>
    </xf>
    <xf numFmtId="0" fontId="49" fillId="12" borderId="74" xfId="2" applyFont="1" applyFill="1" applyBorder="1" applyAlignment="1" applyProtection="1">
      <alignment horizontal="left" vertical="center"/>
      <protection locked="0"/>
    </xf>
    <xf numFmtId="0" fontId="49" fillId="12" borderId="74" xfId="2" applyFont="1" applyFill="1" applyBorder="1" applyAlignment="1" applyProtection="1">
      <alignment horizontal="right" vertical="center"/>
      <protection locked="0"/>
    </xf>
    <xf numFmtId="0" fontId="50" fillId="12" borderId="74" xfId="2" applyFont="1" applyFill="1" applyBorder="1" applyAlignment="1" applyProtection="1">
      <alignment horizontal="left" vertical="center"/>
      <protection locked="0"/>
    </xf>
    <xf numFmtId="172" fontId="39" fillId="12" borderId="83" xfId="2" applyNumberFormat="1" applyFont="1" applyFill="1" applyBorder="1" applyAlignment="1" applyProtection="1">
      <alignment horizontal="right" vertical="center"/>
      <protection locked="0"/>
    </xf>
    <xf numFmtId="0" fontId="49" fillId="12" borderId="84" xfId="2" applyFont="1" applyFill="1" applyBorder="1" applyAlignment="1" applyProtection="1">
      <alignment horizontal="center" vertical="center"/>
      <protection locked="0"/>
    </xf>
    <xf numFmtId="0" fontId="49" fillId="12" borderId="85" xfId="2" applyFont="1" applyFill="1" applyBorder="1" applyAlignment="1" applyProtection="1">
      <alignment horizontal="center" vertical="center"/>
      <protection locked="0"/>
    </xf>
    <xf numFmtId="0" fontId="49" fillId="12" borderId="86" xfId="2" applyFont="1" applyFill="1" applyBorder="1" applyAlignment="1" applyProtection="1">
      <alignment horizontal="center" vertical="center"/>
      <protection locked="0"/>
    </xf>
    <xf numFmtId="172" fontId="39" fillId="12" borderId="87" xfId="2" applyNumberFormat="1" applyFont="1" applyFill="1" applyBorder="1" applyAlignment="1" applyProtection="1">
      <alignment horizontal="right" vertical="center"/>
      <protection locked="0"/>
    </xf>
    <xf numFmtId="0" fontId="37" fillId="12" borderId="9" xfId="0" applyFont="1" applyFill="1" applyBorder="1" applyProtection="1">
      <protection locked="0"/>
    </xf>
    <xf numFmtId="172" fontId="1" fillId="0" borderId="74" xfId="2" applyNumberFormat="1" applyFont="1" applyBorder="1" applyAlignment="1" applyProtection="1">
      <alignment horizontal="center" vertical="center"/>
      <protection locked="0"/>
    </xf>
    <xf numFmtId="172" fontId="1" fillId="0" borderId="72" xfId="2" applyNumberFormat="1" applyFont="1" applyBorder="1" applyAlignment="1" applyProtection="1">
      <alignment horizontal="center" vertical="center"/>
      <protection locked="0"/>
    </xf>
    <xf numFmtId="1" fontId="37" fillId="0" borderId="87" xfId="2" applyNumberFormat="1" applyFont="1" applyBorder="1" applyAlignment="1" applyProtection="1">
      <alignment horizontal="center" vertical="center"/>
      <protection locked="0"/>
    </xf>
    <xf numFmtId="0" fontId="37" fillId="12" borderId="87" xfId="2" applyFont="1" applyFill="1" applyBorder="1" applyAlignment="1" applyProtection="1">
      <alignment horizontal="left" vertical="center"/>
      <protection locked="0"/>
    </xf>
    <xf numFmtId="0" fontId="37" fillId="12" borderId="88" xfId="2" applyFont="1" applyFill="1" applyBorder="1" applyAlignment="1" applyProtection="1">
      <alignment horizontal="center" vertical="center"/>
      <protection locked="0"/>
    </xf>
    <xf numFmtId="173" fontId="38" fillId="12" borderId="88" xfId="2" applyNumberFormat="1" applyFont="1" applyFill="1" applyBorder="1" applyAlignment="1" applyProtection="1">
      <alignment horizontal="center" vertical="center"/>
      <protection locked="0"/>
    </xf>
    <xf numFmtId="0" fontId="0" fillId="0" borderId="1" xfId="0" applyBorder="1" applyProtection="1">
      <protection locked="0"/>
    </xf>
    <xf numFmtId="0" fontId="41" fillId="12" borderId="74" xfId="2" applyFont="1" applyFill="1" applyBorder="1" applyAlignment="1" applyProtection="1">
      <alignment vertical="center"/>
      <protection hidden="1"/>
    </xf>
    <xf numFmtId="0" fontId="1" fillId="12" borderId="74" xfId="2" applyFont="1" applyFill="1" applyBorder="1" applyAlignment="1" applyProtection="1">
      <alignment vertical="center"/>
      <protection hidden="1"/>
    </xf>
    <xf numFmtId="0" fontId="0" fillId="12" borderId="2" xfId="0" applyFill="1" applyBorder="1" applyProtection="1">
      <protection locked="0"/>
    </xf>
    <xf numFmtId="0" fontId="0" fillId="12" borderId="0" xfId="0" applyFill="1" applyProtection="1">
      <protection locked="0"/>
    </xf>
    <xf numFmtId="0" fontId="0" fillId="0" borderId="3" xfId="0" applyBorder="1" applyProtection="1">
      <protection locked="0"/>
    </xf>
    <xf numFmtId="0" fontId="41" fillId="0" borderId="11" xfId="2" applyFont="1" applyBorder="1" applyAlignment="1" applyProtection="1">
      <alignment horizontal="center" vertical="center"/>
      <protection locked="0"/>
    </xf>
    <xf numFmtId="0" fontId="43" fillId="12" borderId="74" xfId="2" applyFont="1" applyFill="1" applyBorder="1" applyAlignment="1" applyProtection="1">
      <alignment horizontal="left" vertical="center"/>
      <protection hidden="1"/>
    </xf>
    <xf numFmtId="0" fontId="41" fillId="12" borderId="74" xfId="2" applyFont="1" applyFill="1" applyBorder="1" applyAlignment="1" applyProtection="1">
      <alignment horizontal="left" vertical="center"/>
      <protection locked="0"/>
    </xf>
    <xf numFmtId="0" fontId="41" fillId="12" borderId="72" xfId="2" applyFont="1" applyFill="1" applyBorder="1" applyAlignment="1" applyProtection="1">
      <alignment horizontal="left" vertical="center"/>
      <protection locked="0"/>
    </xf>
    <xf numFmtId="174" fontId="37" fillId="0" borderId="89" xfId="2" applyNumberFormat="1" applyFont="1" applyBorder="1" applyAlignment="1" applyProtection="1">
      <alignment horizontal="center" vertical="center"/>
      <protection locked="0"/>
    </xf>
    <xf numFmtId="0" fontId="37" fillId="12" borderId="88" xfId="2" applyFont="1" applyFill="1" applyBorder="1" applyAlignment="1" applyProtection="1">
      <alignment horizontal="left" vertical="center"/>
      <protection locked="0"/>
    </xf>
    <xf numFmtId="2" fontId="37" fillId="12" borderId="90" xfId="2" applyNumberFormat="1" applyFont="1" applyFill="1" applyBorder="1" applyAlignment="1" applyProtection="1">
      <alignment horizontal="center" vertical="center"/>
      <protection locked="0"/>
    </xf>
    <xf numFmtId="2" fontId="37" fillId="12" borderId="91" xfId="2" applyNumberFormat="1" applyFont="1" applyFill="1" applyBorder="1" applyAlignment="1" applyProtection="1">
      <alignment horizontal="center" vertical="center"/>
      <protection locked="0"/>
    </xf>
    <xf numFmtId="2" fontId="37" fillId="12" borderId="92" xfId="2" applyNumberFormat="1" applyFont="1" applyFill="1" applyBorder="1" applyAlignment="1" applyProtection="1">
      <alignment horizontal="center" vertical="center"/>
      <protection locked="0"/>
    </xf>
    <xf numFmtId="2" fontId="37" fillId="0" borderId="93" xfId="2" applyNumberFormat="1" applyFont="1" applyBorder="1" applyAlignment="1" applyProtection="1">
      <alignment horizontal="center" vertical="center"/>
      <protection locked="0"/>
    </xf>
    <xf numFmtId="2" fontId="37" fillId="0" borderId="94" xfId="2" applyNumberFormat="1" applyFont="1" applyBorder="1" applyAlignment="1" applyProtection="1">
      <alignment horizontal="center" vertical="center"/>
      <protection locked="0"/>
    </xf>
    <xf numFmtId="2" fontId="37" fillId="0" borderId="95" xfId="2" applyNumberFormat="1" applyFont="1" applyBorder="1" applyAlignment="1" applyProtection="1">
      <alignment horizontal="center" vertical="center"/>
      <protection locked="0"/>
    </xf>
    <xf numFmtId="174" fontId="37" fillId="0" borderId="96" xfId="2" applyNumberFormat="1" applyFont="1" applyBorder="1" applyAlignment="1" applyProtection="1">
      <alignment horizontal="center" vertical="center"/>
      <protection locked="0"/>
    </xf>
    <xf numFmtId="0" fontId="37" fillId="12" borderId="97" xfId="2" applyFont="1" applyFill="1" applyBorder="1" applyAlignment="1" applyProtection="1">
      <alignment horizontal="left" vertical="center"/>
      <protection locked="0"/>
    </xf>
    <xf numFmtId="0" fontId="37" fillId="12" borderId="98" xfId="2" applyFont="1" applyFill="1" applyBorder="1" applyAlignment="1" applyProtection="1">
      <alignment horizontal="center" vertical="center"/>
      <protection locked="0"/>
    </xf>
    <xf numFmtId="2" fontId="37" fillId="12" borderId="98" xfId="2" applyNumberFormat="1" applyFont="1" applyFill="1" applyBorder="1" applyAlignment="1" applyProtection="1">
      <alignment horizontal="center" vertical="center"/>
      <protection locked="0"/>
    </xf>
    <xf numFmtId="0" fontId="37" fillId="12" borderId="97" xfId="2" applyFont="1" applyFill="1" applyBorder="1" applyAlignment="1" applyProtection="1">
      <alignment horizontal="center" vertical="center"/>
      <protection locked="0"/>
    </xf>
    <xf numFmtId="2" fontId="37" fillId="12" borderId="97" xfId="2" applyNumberFormat="1" applyFont="1" applyFill="1" applyBorder="1" applyAlignment="1" applyProtection="1">
      <alignment horizontal="center" vertical="center"/>
      <protection locked="0"/>
    </xf>
    <xf numFmtId="175" fontId="37" fillId="0" borderId="89" xfId="2" applyNumberFormat="1" applyFont="1" applyBorder="1" applyAlignment="1" applyProtection="1">
      <alignment horizontal="center" vertical="center"/>
      <protection locked="0"/>
    </xf>
    <xf numFmtId="0" fontId="37" fillId="12" borderId="89" xfId="2" applyFont="1" applyFill="1" applyBorder="1" applyAlignment="1" applyProtection="1">
      <alignment horizontal="left" vertical="center"/>
      <protection locked="0"/>
    </xf>
    <xf numFmtId="0" fontId="37" fillId="12" borderId="88" xfId="2" applyFont="1" applyFill="1" applyBorder="1" applyAlignment="1" applyProtection="1">
      <alignment vertical="center"/>
      <protection locked="0"/>
    </xf>
    <xf numFmtId="169" fontId="37" fillId="12" borderId="88" xfId="2" applyNumberFormat="1" applyFont="1" applyFill="1" applyBorder="1" applyAlignment="1" applyProtection="1">
      <alignment horizontal="center" vertical="center"/>
      <protection locked="0"/>
    </xf>
    <xf numFmtId="174" fontId="0" fillId="13" borderId="0" xfId="0" applyNumberFormat="1" applyFill="1" applyProtection="1">
      <protection locked="0"/>
    </xf>
    <xf numFmtId="174" fontId="1" fillId="0" borderId="87" xfId="2" applyNumberFormat="1" applyFont="1" applyBorder="1" applyAlignment="1" applyProtection="1">
      <alignment horizontal="center" vertical="center"/>
      <protection locked="0"/>
    </xf>
    <xf numFmtId="0" fontId="1" fillId="12" borderId="87" xfId="2" applyFont="1" applyFill="1" applyBorder="1" applyAlignment="1" applyProtection="1">
      <alignment horizontal="left" vertical="center" wrapText="1" indent="1"/>
      <protection locked="0"/>
    </xf>
    <xf numFmtId="172" fontId="37" fillId="12" borderId="87" xfId="2" applyNumberFormat="1" applyFont="1" applyFill="1" applyBorder="1" applyAlignment="1" applyProtection="1">
      <alignment horizontal="center" vertical="center"/>
      <protection locked="0"/>
    </xf>
    <xf numFmtId="172" fontId="39" fillId="0" borderId="88" xfId="2" applyNumberFormat="1" applyFont="1" applyBorder="1" applyAlignment="1" applyProtection="1">
      <alignment horizontal="right" vertical="center"/>
      <protection locked="0"/>
    </xf>
    <xf numFmtId="172" fontId="39" fillId="0" borderId="87" xfId="2" applyNumberFormat="1" applyFont="1" applyBorder="1" applyAlignment="1" applyProtection="1">
      <alignment horizontal="right" vertical="center"/>
      <protection locked="0"/>
    </xf>
    <xf numFmtId="1" fontId="37" fillId="0" borderId="97" xfId="2" applyNumberFormat="1" applyFont="1" applyBorder="1" applyAlignment="1" applyProtection="1">
      <alignment horizontal="center" vertical="center"/>
      <protection locked="0"/>
    </xf>
    <xf numFmtId="173" fontId="38" fillId="12" borderId="98" xfId="2" applyNumberFormat="1" applyFont="1" applyFill="1" applyBorder="1" applyAlignment="1" applyProtection="1">
      <alignment horizontal="center" vertical="center"/>
      <protection locked="0"/>
    </xf>
    <xf numFmtId="176" fontId="37" fillId="12" borderId="88" xfId="2" applyNumberFormat="1" applyFont="1" applyFill="1" applyBorder="1" applyAlignment="1" applyProtection="1">
      <alignment horizontal="center" vertical="center"/>
      <protection locked="0"/>
    </xf>
    <xf numFmtId="169" fontId="37" fillId="12" borderId="87" xfId="2" applyNumberFormat="1" applyFont="1" applyFill="1" applyBorder="1" applyAlignment="1" applyProtection="1">
      <alignment horizontal="center" vertical="center"/>
      <protection locked="0"/>
    </xf>
    <xf numFmtId="169" fontId="37" fillId="0" borderId="88" xfId="2" applyNumberFormat="1" applyFont="1" applyBorder="1" applyAlignment="1" applyProtection="1">
      <alignment horizontal="center" vertical="center"/>
      <protection locked="0"/>
    </xf>
    <xf numFmtId="174" fontId="37" fillId="0" borderId="34" xfId="2" applyNumberFormat="1" applyFont="1" applyBorder="1" applyAlignment="1" applyProtection="1">
      <alignment horizontal="center" vertical="center"/>
      <protection locked="0"/>
    </xf>
    <xf numFmtId="0" fontId="37" fillId="12" borderId="34" xfId="2" applyFont="1" applyFill="1" applyBorder="1" applyAlignment="1" applyProtection="1">
      <alignment horizontal="left" vertical="center"/>
      <protection locked="0"/>
    </xf>
    <xf numFmtId="0" fontId="37" fillId="12" borderId="99" xfId="2" applyFont="1" applyFill="1" applyBorder="1" applyAlignment="1" applyProtection="1">
      <alignment vertical="center"/>
      <protection locked="0"/>
    </xf>
    <xf numFmtId="2" fontId="37" fillId="12" borderId="83" xfId="2" applyNumberFormat="1" applyFont="1" applyFill="1" applyBorder="1" applyAlignment="1" applyProtection="1">
      <alignment horizontal="center" vertical="center"/>
      <protection locked="0"/>
    </xf>
    <xf numFmtId="177" fontId="37" fillId="12" borderId="99" xfId="2" applyNumberFormat="1" applyFont="1" applyFill="1" applyBorder="1" applyAlignment="1" applyProtection="1">
      <alignment vertical="center"/>
      <protection locked="0"/>
    </xf>
    <xf numFmtId="177" fontId="49" fillId="12" borderId="99" xfId="2" applyNumberFormat="1" applyFont="1" applyFill="1" applyBorder="1" applyAlignment="1" applyProtection="1">
      <alignment vertical="center"/>
      <protection locked="0"/>
    </xf>
    <xf numFmtId="0" fontId="37" fillId="12" borderId="98" xfId="2" applyFont="1" applyFill="1" applyBorder="1" applyAlignment="1" applyProtection="1">
      <alignment horizontal="left" vertical="center"/>
      <protection locked="0"/>
    </xf>
    <xf numFmtId="2" fontId="37" fillId="12" borderId="100" xfId="2" applyNumberFormat="1" applyFont="1" applyFill="1" applyBorder="1" applyAlignment="1" applyProtection="1">
      <alignment horizontal="center" vertical="center"/>
      <protection locked="0"/>
    </xf>
    <xf numFmtId="2" fontId="37" fillId="12" borderId="94" xfId="2" applyNumberFormat="1" applyFont="1" applyFill="1" applyBorder="1" applyAlignment="1" applyProtection="1">
      <alignment horizontal="center" vertical="center"/>
      <protection locked="0"/>
    </xf>
    <xf numFmtId="2" fontId="37" fillId="12" borderId="95" xfId="2" applyNumberFormat="1" applyFont="1" applyFill="1" applyBorder="1" applyAlignment="1" applyProtection="1">
      <alignment horizontal="center" vertical="center"/>
      <protection locked="0"/>
    </xf>
    <xf numFmtId="2" fontId="37" fillId="0" borderId="101" xfId="2" applyNumberFormat="1" applyFont="1" applyBorder="1" applyAlignment="1" applyProtection="1">
      <alignment horizontal="center" vertical="center"/>
      <protection locked="0"/>
    </xf>
    <xf numFmtId="175" fontId="37" fillId="0" borderId="96" xfId="2" applyNumberFormat="1" applyFont="1" applyBorder="1" applyAlignment="1" applyProtection="1">
      <alignment horizontal="center" vertical="center"/>
      <protection locked="0"/>
    </xf>
    <xf numFmtId="0" fontId="37" fillId="12" borderId="96" xfId="2" applyFont="1" applyFill="1" applyBorder="1" applyAlignment="1" applyProtection="1">
      <alignment horizontal="left" vertical="center"/>
      <protection locked="0"/>
    </xf>
    <xf numFmtId="0" fontId="37" fillId="12" borderId="98" xfId="2" applyFont="1" applyFill="1" applyBorder="1" applyAlignment="1" applyProtection="1">
      <alignment vertical="center"/>
      <protection locked="0"/>
    </xf>
    <xf numFmtId="169" fontId="37" fillId="12" borderId="98" xfId="2" applyNumberFormat="1" applyFont="1" applyFill="1" applyBorder="1" applyAlignment="1" applyProtection="1">
      <alignment horizontal="center" vertical="center"/>
      <protection locked="0"/>
    </xf>
    <xf numFmtId="1" fontId="0" fillId="13" borderId="0" xfId="0" applyNumberFormat="1" applyFill="1" applyProtection="1">
      <protection locked="0"/>
    </xf>
    <xf numFmtId="175" fontId="0" fillId="13" borderId="0" xfId="0" applyNumberFormat="1" applyFill="1" applyProtection="1">
      <protection locked="0"/>
    </xf>
    <xf numFmtId="174" fontId="1" fillId="0" borderId="97" xfId="2" applyNumberFormat="1" applyFont="1" applyBorder="1" applyAlignment="1" applyProtection="1">
      <alignment horizontal="center" vertical="center"/>
      <protection locked="0"/>
    </xf>
    <xf numFmtId="0" fontId="1" fillId="12" borderId="97" xfId="2" applyFont="1" applyFill="1" applyBorder="1" applyAlignment="1" applyProtection="1">
      <alignment horizontal="left" vertical="center" wrapText="1" indent="1"/>
      <protection locked="0"/>
    </xf>
    <xf numFmtId="172" fontId="37" fillId="12" borderId="97" xfId="2" applyNumberFormat="1" applyFont="1" applyFill="1" applyBorder="1" applyAlignment="1" applyProtection="1">
      <alignment horizontal="center" vertical="center"/>
      <protection locked="0"/>
    </xf>
    <xf numFmtId="172" fontId="39" fillId="12" borderId="97" xfId="2" applyNumberFormat="1" applyFont="1" applyFill="1" applyBorder="1" applyAlignment="1" applyProtection="1">
      <alignment horizontal="right" vertical="center"/>
      <protection locked="0"/>
    </xf>
    <xf numFmtId="172" fontId="39" fillId="0" borderId="98" xfId="2" applyNumberFormat="1" applyFont="1" applyBorder="1" applyAlignment="1" applyProtection="1">
      <alignment horizontal="right" vertical="center"/>
      <protection locked="0"/>
    </xf>
    <xf numFmtId="172" fontId="39" fillId="0" borderId="97" xfId="2" applyNumberFormat="1" applyFont="1" applyBorder="1" applyAlignment="1" applyProtection="1">
      <alignment horizontal="right" vertical="center"/>
      <protection locked="0"/>
    </xf>
    <xf numFmtId="176" fontId="37" fillId="12" borderId="98" xfId="2" applyNumberFormat="1" applyFont="1" applyFill="1" applyBorder="1" applyAlignment="1" applyProtection="1">
      <alignment horizontal="center" vertical="center"/>
      <protection locked="0"/>
    </xf>
    <xf numFmtId="169" fontId="37" fillId="12" borderId="97" xfId="2" applyNumberFormat="1" applyFont="1" applyFill="1" applyBorder="1" applyAlignment="1" applyProtection="1">
      <alignment horizontal="center" vertical="center"/>
      <protection locked="0"/>
    </xf>
    <xf numFmtId="169" fontId="37" fillId="0" borderId="98" xfId="2" applyNumberFormat="1" applyFont="1" applyBorder="1" applyAlignment="1" applyProtection="1">
      <alignment horizontal="center" vertical="center"/>
      <protection locked="0"/>
    </xf>
    <xf numFmtId="177" fontId="37" fillId="12" borderId="98" xfId="2" applyNumberFormat="1" applyFont="1" applyFill="1" applyBorder="1" applyAlignment="1" applyProtection="1">
      <alignment vertical="center"/>
      <protection locked="0"/>
    </xf>
    <xf numFmtId="178" fontId="37" fillId="12" borderId="98" xfId="2" applyNumberFormat="1" applyFont="1" applyFill="1" applyBorder="1" applyAlignment="1" applyProtection="1">
      <alignment horizontal="center" vertical="center"/>
      <protection locked="0"/>
    </xf>
    <xf numFmtId="174" fontId="37" fillId="0" borderId="58" xfId="2" applyNumberFormat="1" applyFont="1" applyBorder="1" applyAlignment="1" applyProtection="1">
      <alignment horizontal="center" vertical="center"/>
      <protection locked="0"/>
    </xf>
    <xf numFmtId="0" fontId="37" fillId="12" borderId="58" xfId="2" applyFont="1" applyFill="1" applyBorder="1" applyAlignment="1" applyProtection="1">
      <alignment horizontal="left" vertical="center"/>
      <protection locked="0"/>
    </xf>
    <xf numFmtId="0" fontId="37" fillId="12" borderId="102" xfId="2" applyFont="1" applyFill="1" applyBorder="1" applyAlignment="1" applyProtection="1">
      <alignment vertical="center"/>
      <protection locked="0"/>
    </xf>
    <xf numFmtId="2" fontId="37" fillId="12" borderId="103" xfId="2" applyNumberFormat="1" applyFont="1" applyFill="1" applyBorder="1" applyAlignment="1" applyProtection="1">
      <alignment horizontal="center" vertical="center"/>
      <protection locked="0"/>
    </xf>
    <xf numFmtId="177" fontId="37" fillId="12" borderId="102" xfId="2" applyNumberFormat="1" applyFont="1" applyFill="1" applyBorder="1" applyAlignment="1" applyProtection="1">
      <alignment vertical="center"/>
      <protection locked="0"/>
    </xf>
    <xf numFmtId="0" fontId="37" fillId="12" borderId="103" xfId="2" applyFont="1" applyFill="1" applyBorder="1" applyAlignment="1" applyProtection="1">
      <alignment horizontal="left" vertical="center"/>
      <protection locked="0"/>
    </xf>
    <xf numFmtId="0" fontId="1" fillId="12" borderId="103" xfId="2" applyFont="1" applyFill="1" applyBorder="1" applyAlignment="1" applyProtection="1">
      <alignment horizontal="left" vertical="center" wrapText="1"/>
      <protection locked="0"/>
    </xf>
    <xf numFmtId="172" fontId="37" fillId="12" borderId="103" xfId="2" applyNumberFormat="1" applyFont="1" applyFill="1" applyBorder="1" applyAlignment="1" applyProtection="1">
      <alignment horizontal="center" vertical="center"/>
      <protection locked="0"/>
    </xf>
    <xf numFmtId="172" fontId="39" fillId="12" borderId="103" xfId="2" applyNumberFormat="1" applyFont="1" applyFill="1" applyBorder="1" applyAlignment="1" applyProtection="1">
      <alignment horizontal="right" vertical="center"/>
      <protection locked="0"/>
    </xf>
    <xf numFmtId="172" fontId="39" fillId="12" borderId="8" xfId="2" applyNumberFormat="1" applyFont="1" applyFill="1" applyBorder="1" applyAlignment="1" applyProtection="1">
      <alignment horizontal="right" vertical="center"/>
      <protection locked="0"/>
    </xf>
    <xf numFmtId="0" fontId="37" fillId="12" borderId="104" xfId="2" applyFont="1" applyFill="1" applyBorder="1" applyAlignment="1" applyProtection="1">
      <alignment horizontal="left" vertical="center"/>
      <protection locked="0"/>
    </xf>
    <xf numFmtId="0" fontId="37" fillId="12" borderId="105" xfId="2" applyFont="1" applyFill="1" applyBorder="1" applyAlignment="1" applyProtection="1">
      <alignment horizontal="left" vertical="center"/>
      <protection locked="0"/>
    </xf>
    <xf numFmtId="0" fontId="37" fillId="12" borderId="105" xfId="2" applyFont="1" applyFill="1" applyBorder="1" applyAlignment="1" applyProtection="1">
      <alignment horizontal="center" vertical="center"/>
      <protection locked="0"/>
    </xf>
    <xf numFmtId="2" fontId="37" fillId="12" borderId="106" xfId="2" applyNumberFormat="1" applyFont="1" applyFill="1" applyBorder="1" applyAlignment="1" applyProtection="1">
      <alignment horizontal="center" vertical="center"/>
      <protection locked="0"/>
    </xf>
    <xf numFmtId="2" fontId="37" fillId="12" borderId="107" xfId="2" applyNumberFormat="1" applyFont="1" applyFill="1" applyBorder="1" applyAlignment="1" applyProtection="1">
      <alignment horizontal="center" vertical="center"/>
      <protection locked="0"/>
    </xf>
    <xf numFmtId="2" fontId="37" fillId="12" borderId="108" xfId="2" applyNumberFormat="1" applyFont="1" applyFill="1" applyBorder="1" applyAlignment="1" applyProtection="1">
      <alignment horizontal="center" vertical="center"/>
      <protection locked="0"/>
    </xf>
    <xf numFmtId="0" fontId="37" fillId="12" borderId="109" xfId="2" applyFont="1" applyFill="1" applyBorder="1" applyAlignment="1" applyProtection="1">
      <alignment horizontal="left" vertical="center" wrapText="1"/>
      <protection locked="0"/>
    </xf>
    <xf numFmtId="0" fontId="1" fillId="12" borderId="109" xfId="2" applyFont="1" applyFill="1" applyBorder="1" applyAlignment="1" applyProtection="1">
      <alignment horizontal="left" vertical="center" wrapText="1"/>
      <protection locked="0"/>
    </xf>
    <xf numFmtId="172" fontId="37" fillId="12" borderId="109" xfId="2" applyNumberFormat="1" applyFont="1" applyFill="1" applyBorder="1" applyAlignment="1" applyProtection="1">
      <alignment horizontal="center" vertical="center"/>
      <protection locked="0"/>
    </xf>
    <xf numFmtId="172" fontId="39" fillId="12" borderId="109" xfId="2" applyNumberFormat="1" applyFont="1" applyFill="1" applyBorder="1" applyAlignment="1" applyProtection="1">
      <alignment horizontal="right" vertical="center"/>
      <protection locked="0"/>
    </xf>
    <xf numFmtId="0" fontId="37" fillId="12" borderId="83" xfId="2" applyFont="1" applyFill="1" applyBorder="1" applyAlignment="1" applyProtection="1">
      <alignment horizontal="left" vertical="center"/>
      <protection locked="0"/>
    </xf>
    <xf numFmtId="0" fontId="37" fillId="12" borderId="99" xfId="2" applyFont="1" applyFill="1" applyBorder="1" applyAlignment="1" applyProtection="1">
      <alignment horizontal="left" vertical="center"/>
      <protection locked="0"/>
    </xf>
    <xf numFmtId="0" fontId="37" fillId="12" borderId="99" xfId="2" applyFont="1" applyFill="1" applyBorder="1" applyAlignment="1" applyProtection="1">
      <alignment horizontal="center" vertical="center"/>
      <protection locked="0"/>
    </xf>
    <xf numFmtId="2" fontId="37" fillId="12" borderId="60" xfId="2" applyNumberFormat="1" applyFont="1" applyFill="1" applyBorder="1" applyAlignment="1" applyProtection="1">
      <alignment horizontal="center" vertical="center"/>
      <protection locked="0"/>
    </xf>
    <xf numFmtId="2" fontId="37" fillId="12" borderId="37" xfId="2" applyNumberFormat="1" applyFont="1" applyFill="1" applyBorder="1" applyAlignment="1" applyProtection="1">
      <alignment horizontal="center" vertical="center"/>
      <protection locked="0"/>
    </xf>
    <xf numFmtId="2" fontId="37" fillId="12" borderId="53" xfId="2" applyNumberFormat="1" applyFont="1" applyFill="1" applyBorder="1" applyAlignment="1" applyProtection="1">
      <alignment horizontal="center" vertical="center"/>
      <protection locked="0"/>
    </xf>
    <xf numFmtId="0" fontId="37" fillId="12" borderId="83" xfId="2" applyFont="1" applyFill="1" applyBorder="1" applyAlignment="1" applyProtection="1">
      <alignment horizontal="left" vertical="center" wrapText="1"/>
      <protection locked="0"/>
    </xf>
    <xf numFmtId="0" fontId="1" fillId="12" borderId="83" xfId="2" applyFont="1" applyFill="1" applyBorder="1" applyAlignment="1" applyProtection="1">
      <alignment horizontal="left" vertical="center" wrapText="1"/>
      <protection locked="0"/>
    </xf>
    <xf numFmtId="172" fontId="37" fillId="12" borderId="83" xfId="2" applyNumberFormat="1" applyFont="1" applyFill="1" applyBorder="1" applyAlignment="1" applyProtection="1">
      <alignment horizontal="center" vertical="center"/>
      <protection locked="0"/>
    </xf>
    <xf numFmtId="174" fontId="37" fillId="0" borderId="11" xfId="2" applyNumberFormat="1" applyFont="1" applyBorder="1" applyAlignment="1" applyProtection="1">
      <alignment horizontal="center" vertical="center"/>
      <protection locked="0"/>
    </xf>
    <xf numFmtId="0" fontId="41" fillId="12" borderId="74" xfId="2" applyFont="1" applyFill="1" applyBorder="1" applyAlignment="1" applyProtection="1">
      <alignment horizontal="left" vertical="center"/>
      <protection hidden="1"/>
    </xf>
    <xf numFmtId="0" fontId="41" fillId="12" borderId="74" xfId="2" applyFont="1" applyFill="1" applyBorder="1" applyAlignment="1" applyProtection="1">
      <alignment vertical="center"/>
      <protection locked="0"/>
    </xf>
    <xf numFmtId="2" fontId="37" fillId="12" borderId="74" xfId="2" applyNumberFormat="1" applyFont="1" applyFill="1" applyBorder="1" applyAlignment="1" applyProtection="1">
      <alignment horizontal="center" vertical="center"/>
      <protection locked="0"/>
    </xf>
    <xf numFmtId="177" fontId="37" fillId="12" borderId="74" xfId="2" applyNumberFormat="1" applyFont="1" applyFill="1" applyBorder="1" applyAlignment="1" applyProtection="1">
      <alignment vertical="center"/>
      <protection locked="0"/>
    </xf>
    <xf numFmtId="177" fontId="37" fillId="12" borderId="72" xfId="2" applyNumberFormat="1" applyFont="1" applyFill="1" applyBorder="1" applyAlignment="1" applyProtection="1">
      <alignment vertical="center"/>
      <protection locked="0"/>
    </xf>
    <xf numFmtId="2" fontId="37" fillId="12" borderId="101" xfId="2" applyNumberFormat="1" applyFont="1" applyFill="1" applyBorder="1" applyAlignment="1" applyProtection="1">
      <alignment horizontal="center" vertical="center"/>
      <protection locked="0"/>
    </xf>
    <xf numFmtId="174" fontId="37" fillId="0" borderId="110" xfId="2" applyNumberFormat="1" applyFont="1" applyBorder="1" applyAlignment="1" applyProtection="1">
      <alignment horizontal="center" vertical="center"/>
      <protection locked="0"/>
    </xf>
    <xf numFmtId="0" fontId="37" fillId="12" borderId="111" xfId="2" applyFont="1" applyFill="1" applyBorder="1" applyAlignment="1" applyProtection="1">
      <alignment horizontal="left" vertical="center"/>
      <protection locked="0"/>
    </xf>
    <xf numFmtId="0" fontId="37" fillId="12" borderId="112" xfId="2" applyFont="1" applyFill="1" applyBorder="1" applyAlignment="1" applyProtection="1">
      <alignment horizontal="center" vertical="center"/>
      <protection locked="0"/>
    </xf>
    <xf numFmtId="2" fontId="37" fillId="12" borderId="113" xfId="2" applyNumberFormat="1" applyFont="1" applyFill="1" applyBorder="1" applyAlignment="1" applyProtection="1">
      <alignment horizontal="center" vertical="center"/>
      <protection locked="0"/>
    </xf>
    <xf numFmtId="2" fontId="37" fillId="12" borderId="112" xfId="2" applyNumberFormat="1" applyFont="1" applyFill="1" applyBorder="1" applyAlignment="1" applyProtection="1">
      <alignment horizontal="center" vertical="center"/>
      <protection locked="0"/>
    </xf>
    <xf numFmtId="0" fontId="37" fillId="12" borderId="97" xfId="2" applyFont="1" applyFill="1" applyBorder="1" applyAlignment="1" applyProtection="1">
      <alignment horizontal="left" vertical="center" wrapText="1"/>
      <protection locked="0"/>
    </xf>
    <xf numFmtId="0" fontId="1" fillId="12" borderId="97" xfId="2" applyFont="1" applyFill="1" applyBorder="1" applyAlignment="1" applyProtection="1">
      <alignment horizontal="left" vertical="center" wrapText="1"/>
      <protection locked="0"/>
    </xf>
    <xf numFmtId="174" fontId="37" fillId="0" borderId="114" xfId="2" applyNumberFormat="1" applyFont="1" applyBorder="1" applyAlignment="1" applyProtection="1">
      <alignment horizontal="center" vertical="center"/>
      <protection locked="0"/>
    </xf>
    <xf numFmtId="2" fontId="37" fillId="0" borderId="115" xfId="2" applyNumberFormat="1" applyFont="1" applyBorder="1" applyAlignment="1" applyProtection="1">
      <alignment horizontal="center" vertical="center"/>
      <protection locked="0"/>
    </xf>
    <xf numFmtId="2" fontId="37" fillId="0" borderId="107" xfId="2" applyNumberFormat="1" applyFont="1" applyBorder="1" applyAlignment="1" applyProtection="1">
      <alignment horizontal="center" vertical="center"/>
      <protection locked="0"/>
    </xf>
    <xf numFmtId="2" fontId="37" fillId="0" borderId="108" xfId="2" applyNumberFormat="1" applyFont="1" applyBorder="1" applyAlignment="1" applyProtection="1">
      <alignment horizontal="center" vertical="center"/>
      <protection locked="0"/>
    </xf>
    <xf numFmtId="0" fontId="37" fillId="12" borderId="104" xfId="2" applyFont="1" applyFill="1" applyBorder="1" applyAlignment="1" applyProtection="1">
      <alignment horizontal="center" vertical="center"/>
      <protection locked="0"/>
    </xf>
    <xf numFmtId="2" fontId="37" fillId="12" borderId="115" xfId="2" applyNumberFormat="1" applyFont="1" applyFill="1" applyBorder="1" applyAlignment="1" applyProtection="1">
      <alignment horizontal="center" vertical="center"/>
      <protection locked="0"/>
    </xf>
    <xf numFmtId="174" fontId="0" fillId="2" borderId="0" xfId="0" applyNumberFormat="1" applyFill="1" applyProtection="1">
      <protection locked="0"/>
    </xf>
    <xf numFmtId="0" fontId="37" fillId="12" borderId="9" xfId="0" applyFont="1" applyFill="1" applyBorder="1" applyAlignment="1" applyProtection="1">
      <alignment horizontal="center"/>
      <protection locked="0"/>
    </xf>
    <xf numFmtId="0" fontId="37" fillId="12" borderId="74" xfId="2" applyFont="1" applyFill="1" applyBorder="1" applyAlignment="1" applyProtection="1">
      <alignment horizontal="center" vertical="center"/>
      <protection locked="0"/>
    </xf>
    <xf numFmtId="0" fontId="37" fillId="12" borderId="83" xfId="2" applyFont="1" applyFill="1" applyBorder="1" applyAlignment="1" applyProtection="1">
      <alignment horizontal="center" vertical="center"/>
      <protection locked="0"/>
    </xf>
    <xf numFmtId="2" fontId="37" fillId="12" borderId="50" xfId="2" applyNumberFormat="1" applyFont="1" applyFill="1" applyBorder="1" applyAlignment="1" applyProtection="1">
      <alignment horizontal="center" vertical="center"/>
      <protection locked="0"/>
    </xf>
    <xf numFmtId="9" fontId="37" fillId="12" borderId="34" xfId="2" applyNumberFormat="1" applyFont="1" applyFill="1" applyBorder="1" applyAlignment="1" applyProtection="1">
      <alignment horizontal="left" vertical="center"/>
      <protection locked="0"/>
    </xf>
    <xf numFmtId="9" fontId="37" fillId="12" borderId="99" xfId="2" applyNumberFormat="1" applyFont="1" applyFill="1" applyBorder="1" applyAlignment="1" applyProtection="1">
      <alignment horizontal="left" vertical="center"/>
      <protection locked="0"/>
    </xf>
    <xf numFmtId="9" fontId="37" fillId="12" borderId="96" xfId="2" applyNumberFormat="1" applyFont="1" applyFill="1" applyBorder="1" applyAlignment="1" applyProtection="1">
      <alignment horizontal="left" vertical="center"/>
      <protection locked="0"/>
    </xf>
    <xf numFmtId="9" fontId="37" fillId="12" borderId="98" xfId="2" applyNumberFormat="1" applyFont="1" applyFill="1" applyBorder="1" applyAlignment="1" applyProtection="1">
      <alignment horizontal="left" vertical="center"/>
      <protection locked="0"/>
    </xf>
    <xf numFmtId="0" fontId="37" fillId="12" borderId="109" xfId="2" applyFont="1" applyFill="1" applyBorder="1" applyAlignment="1" applyProtection="1">
      <alignment horizontal="left" vertical="center"/>
      <protection locked="0"/>
    </xf>
    <xf numFmtId="0" fontId="37" fillId="12" borderId="116" xfId="2" applyFont="1" applyFill="1" applyBorder="1" applyAlignment="1" applyProtection="1">
      <alignment horizontal="center" vertical="center"/>
      <protection locked="0"/>
    </xf>
    <xf numFmtId="173" fontId="38" fillId="12" borderId="116" xfId="2" applyNumberFormat="1" applyFont="1" applyFill="1" applyBorder="1" applyAlignment="1" applyProtection="1">
      <alignment horizontal="center" vertical="center"/>
      <protection locked="0"/>
    </xf>
    <xf numFmtId="176" fontId="37" fillId="12" borderId="97" xfId="2" applyNumberFormat="1" applyFont="1" applyFill="1" applyBorder="1" applyAlignment="1" applyProtection="1">
      <alignment horizontal="center" vertical="center"/>
      <protection locked="0"/>
    </xf>
    <xf numFmtId="0" fontId="1" fillId="12" borderId="97" xfId="2" applyFont="1" applyFill="1" applyBorder="1" applyAlignment="1" applyProtection="1">
      <alignment horizontal="center" vertical="center" wrapText="1"/>
      <protection locked="0"/>
    </xf>
    <xf numFmtId="173" fontId="38" fillId="12" borderId="105" xfId="2" applyNumberFormat="1" applyFont="1" applyFill="1" applyBorder="1" applyAlignment="1" applyProtection="1">
      <alignment horizontal="center" vertical="center"/>
      <protection locked="0"/>
    </xf>
    <xf numFmtId="169" fontId="41" fillId="0" borderId="98" xfId="2" applyNumberFormat="1" applyFont="1" applyBorder="1" applyAlignment="1" applyProtection="1">
      <alignment horizontal="center" vertical="center"/>
      <protection locked="0"/>
    </xf>
    <xf numFmtId="0" fontId="1" fillId="12" borderId="103" xfId="2" applyFont="1" applyFill="1" applyBorder="1" applyAlignment="1" applyProtection="1">
      <alignment horizontal="center" vertical="center" wrapText="1"/>
      <protection locked="0"/>
    </xf>
    <xf numFmtId="0" fontId="38" fillId="12" borderId="103" xfId="2" applyFont="1" applyFill="1" applyBorder="1" applyAlignment="1" applyProtection="1">
      <alignment horizontal="right" vertical="center"/>
      <protection locked="0"/>
    </xf>
    <xf numFmtId="0" fontId="38" fillId="0" borderId="98" xfId="2" applyFont="1" applyBorder="1" applyAlignment="1" applyProtection="1">
      <alignment horizontal="right" vertical="center"/>
      <protection locked="0"/>
    </xf>
    <xf numFmtId="9" fontId="37" fillId="12" borderId="110" xfId="2" applyNumberFormat="1" applyFont="1" applyFill="1" applyBorder="1" applyAlignment="1" applyProtection="1">
      <alignment horizontal="left" vertical="center"/>
      <protection locked="0"/>
    </xf>
    <xf numFmtId="9" fontId="37" fillId="12" borderId="112" xfId="2" applyNumberFormat="1" applyFont="1" applyFill="1" applyBorder="1" applyAlignment="1" applyProtection="1">
      <alignment horizontal="left" vertical="center"/>
      <protection locked="0"/>
    </xf>
    <xf numFmtId="0" fontId="37" fillId="12" borderId="111" xfId="2" applyFont="1" applyFill="1" applyBorder="1" applyAlignment="1" applyProtection="1">
      <alignment horizontal="center" vertical="center"/>
      <protection locked="0"/>
    </xf>
    <xf numFmtId="177" fontId="37" fillId="12" borderId="112" xfId="2" applyNumberFormat="1" applyFont="1" applyFill="1" applyBorder="1" applyAlignment="1" applyProtection="1">
      <alignment vertical="center"/>
      <protection locked="0"/>
    </xf>
    <xf numFmtId="177" fontId="49" fillId="12" borderId="111" xfId="2" applyNumberFormat="1" applyFont="1" applyFill="1" applyBorder="1" applyAlignment="1" applyProtection="1">
      <alignment vertical="center"/>
      <protection locked="0"/>
    </xf>
    <xf numFmtId="0" fontId="37" fillId="0" borderId="11" xfId="2" applyFont="1" applyBorder="1" applyAlignment="1" applyProtection="1">
      <alignment horizontal="center" vertical="center"/>
      <protection locked="0"/>
    </xf>
    <xf numFmtId="0" fontId="38" fillId="12" borderId="97" xfId="2" applyFont="1" applyFill="1" applyBorder="1" applyAlignment="1" applyProtection="1">
      <alignment horizontal="right" vertical="center"/>
      <protection locked="0"/>
    </xf>
    <xf numFmtId="172" fontId="39" fillId="0" borderId="74" xfId="2" applyNumberFormat="1" applyFont="1" applyBorder="1" applyAlignment="1" applyProtection="1">
      <alignment horizontal="center" vertical="center"/>
      <protection locked="0"/>
    </xf>
    <xf numFmtId="172" fontId="39" fillId="0" borderId="72" xfId="2" applyNumberFormat="1" applyFont="1" applyBorder="1" applyAlignment="1" applyProtection="1">
      <alignment horizontal="center" vertical="center"/>
      <protection locked="0"/>
    </xf>
    <xf numFmtId="0" fontId="37" fillId="12" borderId="110" xfId="2" applyFont="1" applyFill="1" applyBorder="1" applyAlignment="1" applyProtection="1">
      <alignment horizontal="left" vertical="center"/>
      <protection locked="0"/>
    </xf>
    <xf numFmtId="0" fontId="37" fillId="12" borderId="112" xfId="2" applyFont="1" applyFill="1" applyBorder="1" applyAlignment="1" applyProtection="1">
      <alignment horizontal="left" vertical="center"/>
      <protection locked="0"/>
    </xf>
    <xf numFmtId="169" fontId="37" fillId="0" borderId="112" xfId="2" applyNumberFormat="1" applyFont="1" applyBorder="1" applyAlignment="1" applyProtection="1">
      <alignment horizontal="center" vertical="center"/>
      <protection locked="0"/>
    </xf>
    <xf numFmtId="0" fontId="1" fillId="2" borderId="0" xfId="2" applyFont="1" applyFill="1" applyAlignment="1" applyProtection="1">
      <alignment horizontal="left"/>
      <protection hidden="1"/>
    </xf>
    <xf numFmtId="0" fontId="0" fillId="2" borderId="0" xfId="0" applyFill="1" applyProtection="1">
      <protection hidden="1"/>
    </xf>
    <xf numFmtId="0" fontId="1" fillId="2" borderId="0" xfId="2" applyFont="1" applyFill="1" applyAlignment="1" applyProtection="1">
      <alignment horizontal="center"/>
      <protection hidden="1"/>
    </xf>
    <xf numFmtId="0" fontId="1" fillId="2" borderId="0" xfId="2" applyFont="1" applyFill="1" applyProtection="1">
      <protection hidden="1"/>
    </xf>
    <xf numFmtId="0" fontId="1" fillId="12" borderId="83" xfId="2" applyFont="1" applyFill="1" applyBorder="1" applyAlignment="1" applyProtection="1">
      <alignment horizontal="left" vertical="center"/>
      <protection locked="0"/>
    </xf>
    <xf numFmtId="0" fontId="1" fillId="12" borderId="83" xfId="2" applyFont="1" applyFill="1" applyBorder="1" applyAlignment="1" applyProtection="1">
      <alignment horizontal="left" vertical="center" wrapText="1" indent="1"/>
      <protection locked="0"/>
    </xf>
    <xf numFmtId="2" fontId="39" fillId="0" borderId="88" xfId="2" applyNumberFormat="1" applyFont="1" applyBorder="1" applyAlignment="1" applyProtection="1">
      <alignment horizontal="right" vertical="center"/>
      <protection locked="0"/>
    </xf>
    <xf numFmtId="2" fontId="39" fillId="0" borderId="87" xfId="2" applyNumberFormat="1" applyFont="1" applyBorder="1" applyAlignment="1" applyProtection="1">
      <alignment horizontal="right" vertical="center"/>
      <protection locked="0"/>
    </xf>
    <xf numFmtId="175" fontId="41" fillId="0" borderId="11" xfId="2" applyNumberFormat="1" applyFont="1" applyBorder="1" applyAlignment="1" applyProtection="1">
      <alignment horizontal="center" vertical="center"/>
      <protection locked="0"/>
    </xf>
    <xf numFmtId="0" fontId="37" fillId="12" borderId="74" xfId="2" applyFont="1" applyFill="1" applyBorder="1" applyAlignment="1" applyProtection="1">
      <alignment vertical="center"/>
      <protection locked="0"/>
    </xf>
    <xf numFmtId="169" fontId="41" fillId="12" borderId="74" xfId="2" applyNumberFormat="1" applyFont="1" applyFill="1" applyBorder="1" applyAlignment="1" applyProtection="1">
      <alignment horizontal="center" vertical="center"/>
      <protection locked="0"/>
    </xf>
    <xf numFmtId="169" fontId="41" fillId="0" borderId="74" xfId="2" applyNumberFormat="1" applyFont="1" applyBorder="1" applyAlignment="1" applyProtection="1">
      <alignment horizontal="center" vertical="center"/>
      <protection locked="0"/>
    </xf>
    <xf numFmtId="0" fontId="1" fillId="12" borderId="97" xfId="2" applyFont="1" applyFill="1" applyBorder="1" applyAlignment="1" applyProtection="1">
      <alignment horizontal="left" vertical="center"/>
      <protection locked="0"/>
    </xf>
    <xf numFmtId="2" fontId="39" fillId="0" borderId="98" xfId="2" applyNumberFormat="1" applyFont="1" applyBorder="1" applyAlignment="1" applyProtection="1">
      <alignment horizontal="right" vertical="center"/>
      <protection locked="0"/>
    </xf>
    <xf numFmtId="2" fontId="39" fillId="0" borderId="97" xfId="2" applyNumberFormat="1" applyFont="1" applyBorder="1" applyAlignment="1" applyProtection="1">
      <alignment horizontal="right" vertical="center"/>
      <protection locked="0"/>
    </xf>
    <xf numFmtId="174" fontId="37" fillId="0" borderId="117" xfId="2" applyNumberFormat="1" applyFont="1" applyBorder="1" applyAlignment="1" applyProtection="1">
      <alignment horizontal="center" vertical="center"/>
      <protection locked="0"/>
    </xf>
    <xf numFmtId="0" fontId="0" fillId="12" borderId="9" xfId="0" applyFill="1" applyBorder="1" applyAlignment="1" applyProtection="1">
      <alignment wrapText="1"/>
      <protection locked="0"/>
    </xf>
    <xf numFmtId="0" fontId="37" fillId="12" borderId="9" xfId="0" applyFont="1" applyFill="1" applyBorder="1" applyAlignment="1" applyProtection="1">
      <alignment wrapText="1"/>
      <protection locked="0"/>
    </xf>
    <xf numFmtId="0" fontId="1" fillId="12" borderId="111" xfId="2" applyFont="1" applyFill="1" applyBorder="1" applyAlignment="1" applyProtection="1">
      <alignment horizontal="left" vertical="center"/>
      <protection locked="0"/>
    </xf>
    <xf numFmtId="0" fontId="1" fillId="12" borderId="111" xfId="2" applyFont="1" applyFill="1" applyBorder="1" applyAlignment="1" applyProtection="1">
      <alignment horizontal="left" vertical="center" wrapText="1" indent="1"/>
      <protection locked="0"/>
    </xf>
    <xf numFmtId="172" fontId="37" fillId="12" borderId="111" xfId="2" applyNumberFormat="1" applyFont="1" applyFill="1" applyBorder="1" applyAlignment="1" applyProtection="1">
      <alignment horizontal="center" vertical="center"/>
      <protection locked="0"/>
    </xf>
    <xf numFmtId="172" fontId="39" fillId="12" borderId="111" xfId="2" applyNumberFormat="1" applyFont="1" applyFill="1" applyBorder="1" applyAlignment="1" applyProtection="1">
      <alignment horizontal="right" vertical="center"/>
      <protection locked="0"/>
    </xf>
    <xf numFmtId="2" fontId="39" fillId="0" borderId="102" xfId="2" applyNumberFormat="1" applyFont="1" applyBorder="1" applyAlignment="1" applyProtection="1">
      <alignment horizontal="right" vertical="center"/>
      <protection locked="0"/>
    </xf>
    <xf numFmtId="2" fontId="39" fillId="0" borderId="103" xfId="2" applyNumberFormat="1" applyFont="1" applyBorder="1" applyAlignment="1" applyProtection="1">
      <alignment horizontal="right" vertical="center"/>
      <protection locked="0"/>
    </xf>
    <xf numFmtId="174" fontId="1" fillId="0" borderId="96" xfId="2" applyNumberFormat="1" applyFont="1" applyBorder="1" applyAlignment="1" applyProtection="1">
      <alignment horizontal="center" vertical="center"/>
      <protection locked="0"/>
    </xf>
    <xf numFmtId="0" fontId="1" fillId="2" borderId="0" xfId="2" applyFont="1" applyFill="1" applyAlignment="1" applyProtection="1">
      <alignment horizontal="left" vertical="center"/>
      <protection locked="0"/>
    </xf>
    <xf numFmtId="0" fontId="1" fillId="2" borderId="0" xfId="2" applyFont="1" applyFill="1" applyAlignment="1" applyProtection="1">
      <alignment horizontal="left" vertical="center" wrapText="1" indent="1"/>
      <protection locked="0"/>
    </xf>
    <xf numFmtId="172" fontId="37" fillId="2" borderId="0" xfId="2" applyNumberFormat="1" applyFont="1" applyFill="1" applyAlignment="1" applyProtection="1">
      <alignment horizontal="center" vertical="center"/>
      <protection locked="0"/>
    </xf>
    <xf numFmtId="172" fontId="39" fillId="2" borderId="0" xfId="2" applyNumberFormat="1" applyFont="1" applyFill="1" applyAlignment="1" applyProtection="1">
      <alignment horizontal="right" vertical="center"/>
      <protection locked="0"/>
    </xf>
    <xf numFmtId="2" fontId="39" fillId="2" borderId="0" xfId="2" applyNumberFormat="1" applyFont="1" applyFill="1" applyAlignment="1" applyProtection="1">
      <alignment horizontal="right" vertical="center"/>
      <protection locked="0"/>
    </xf>
    <xf numFmtId="1" fontId="37" fillId="0" borderId="98" xfId="2" applyNumberFormat="1" applyFont="1" applyBorder="1" applyAlignment="1" applyProtection="1">
      <alignment horizontal="center" vertical="center"/>
      <protection locked="0"/>
    </xf>
    <xf numFmtId="173" fontId="38" fillId="12" borderId="112" xfId="2" applyNumberFormat="1" applyFont="1" applyFill="1" applyBorder="1" applyAlignment="1" applyProtection="1">
      <alignment horizontal="center" vertical="center"/>
      <protection locked="0"/>
    </xf>
    <xf numFmtId="0" fontId="1" fillId="2" borderId="0" xfId="2" applyFont="1" applyFill="1" applyAlignment="1" applyProtection="1">
      <alignment horizontal="left" vertical="center" wrapText="1"/>
      <protection locked="0"/>
    </xf>
    <xf numFmtId="0" fontId="37" fillId="12" borderId="12" xfId="2" applyFont="1" applyFill="1" applyBorder="1" applyAlignment="1" applyProtection="1">
      <alignment horizontal="left" vertical="center"/>
      <protection locked="0"/>
    </xf>
    <xf numFmtId="0" fontId="37" fillId="12" borderId="111" xfId="0" applyFont="1" applyFill="1" applyBorder="1" applyAlignment="1" applyProtection="1">
      <alignment horizontal="left"/>
      <protection locked="0"/>
    </xf>
    <xf numFmtId="0" fontId="0" fillId="12" borderId="110" xfId="0" applyFill="1" applyBorder="1" applyAlignment="1" applyProtection="1">
      <alignment horizontal="center" vertical="center"/>
      <protection locked="0"/>
    </xf>
    <xf numFmtId="0" fontId="45" fillId="12" borderId="111" xfId="0" applyFont="1" applyFill="1" applyBorder="1" applyAlignment="1" applyProtection="1">
      <alignment horizontal="center" vertical="center" wrapText="1"/>
      <protection locked="0"/>
    </xf>
    <xf numFmtId="2" fontId="37" fillId="12" borderId="118" xfId="2" applyNumberFormat="1" applyFont="1" applyFill="1" applyBorder="1" applyAlignment="1" applyProtection="1">
      <alignment horizontal="center" vertical="center"/>
      <protection locked="0"/>
    </xf>
    <xf numFmtId="0" fontId="37" fillId="12" borderId="119" xfId="2" applyFont="1" applyFill="1" applyBorder="1" applyAlignment="1" applyProtection="1">
      <alignment horizontal="center" vertical="center"/>
      <protection locked="0"/>
    </xf>
    <xf numFmtId="0" fontId="37" fillId="12" borderId="113" xfId="2" applyFont="1" applyFill="1" applyBorder="1" applyAlignment="1" applyProtection="1">
      <alignment horizontal="center" vertical="center"/>
      <protection locked="0"/>
    </xf>
    <xf numFmtId="2" fontId="34" fillId="0" borderId="21" xfId="2" applyNumberFormat="1" applyFont="1" applyBorder="1" applyAlignment="1" applyProtection="1">
      <alignment horizontal="center"/>
      <protection locked="0"/>
    </xf>
    <xf numFmtId="0" fontId="34" fillId="0" borderId="23" xfId="2" applyFont="1" applyBorder="1" applyAlignment="1" applyProtection="1">
      <alignment horizontal="center"/>
      <protection locked="0"/>
    </xf>
    <xf numFmtId="2" fontId="34" fillId="0" borderId="56" xfId="2" applyNumberFormat="1" applyFont="1" applyBorder="1" applyAlignment="1" applyProtection="1">
      <alignment horizontal="center"/>
      <protection locked="0"/>
    </xf>
    <xf numFmtId="179" fontId="37" fillId="12" borderId="88" xfId="0" applyNumberFormat="1" applyFont="1" applyFill="1" applyBorder="1" applyAlignment="1" applyProtection="1">
      <alignment horizontal="left" vertical="center"/>
      <protection locked="0"/>
    </xf>
    <xf numFmtId="179" fontId="0" fillId="12" borderId="88" xfId="0" applyNumberFormat="1"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180" fontId="37" fillId="12" borderId="93" xfId="0" applyNumberFormat="1" applyFont="1" applyFill="1" applyBorder="1" applyAlignment="1" applyProtection="1">
      <alignment horizontal="right" vertical="center"/>
      <protection locked="0"/>
    </xf>
    <xf numFmtId="180" fontId="37" fillId="12" borderId="91" xfId="0" applyNumberFormat="1" applyFont="1" applyFill="1" applyBorder="1" applyAlignment="1" applyProtection="1">
      <alignment horizontal="right" vertical="center"/>
      <protection locked="0"/>
    </xf>
    <xf numFmtId="180" fontId="37" fillId="12" borderId="92" xfId="0" applyNumberFormat="1" applyFont="1" applyFill="1" applyBorder="1" applyAlignment="1" applyProtection="1">
      <alignment horizontal="right" vertical="center"/>
      <protection locked="0"/>
    </xf>
    <xf numFmtId="180" fontId="0" fillId="0" borderId="93" xfId="0" applyNumberFormat="1" applyBorder="1" applyAlignment="1" applyProtection="1">
      <alignment horizontal="right" vertical="center"/>
      <protection locked="0"/>
    </xf>
    <xf numFmtId="180" fontId="0" fillId="0" borderId="91" xfId="0" applyNumberFormat="1" applyBorder="1" applyAlignment="1" applyProtection="1">
      <alignment horizontal="right" vertical="center"/>
      <protection locked="0"/>
    </xf>
    <xf numFmtId="180" fontId="0" fillId="0" borderId="92" xfId="0" applyNumberFormat="1" applyBorder="1" applyAlignment="1" applyProtection="1">
      <alignment horizontal="right" vertical="center"/>
      <protection locked="0"/>
    </xf>
    <xf numFmtId="0" fontId="1" fillId="2" borderId="0" xfId="2" applyFont="1" applyFill="1" applyAlignment="1" applyProtection="1">
      <alignment horizontal="center" vertical="center" wrapText="1"/>
      <protection locked="0"/>
    </xf>
    <xf numFmtId="179" fontId="37" fillId="12" borderId="99" xfId="0" applyNumberFormat="1" applyFont="1" applyFill="1" applyBorder="1" applyAlignment="1" applyProtection="1">
      <alignment horizontal="left" vertical="center"/>
      <protection locked="0"/>
    </xf>
    <xf numFmtId="179" fontId="0" fillId="12" borderId="99" xfId="0" applyNumberFormat="1" applyFill="1" applyBorder="1" applyAlignment="1" applyProtection="1">
      <alignment horizontal="center" vertical="center"/>
      <protection locked="0"/>
    </xf>
    <xf numFmtId="0" fontId="0" fillId="12" borderId="0" xfId="0" applyFill="1" applyAlignment="1" applyProtection="1">
      <alignment horizontal="center" vertical="center"/>
      <protection locked="0"/>
    </xf>
    <xf numFmtId="180" fontId="37" fillId="12" borderId="50" xfId="0" applyNumberFormat="1" applyFont="1" applyFill="1" applyBorder="1" applyAlignment="1" applyProtection="1">
      <alignment horizontal="right" vertical="center"/>
      <protection locked="0"/>
    </xf>
    <xf numFmtId="180" fontId="37" fillId="12" borderId="37" xfId="0" applyNumberFormat="1" applyFont="1" applyFill="1" applyBorder="1" applyAlignment="1" applyProtection="1">
      <alignment horizontal="right" vertical="center"/>
      <protection locked="0"/>
    </xf>
    <xf numFmtId="180" fontId="37" fillId="12" borderId="53" xfId="0" applyNumberFormat="1" applyFont="1" applyFill="1" applyBorder="1" applyAlignment="1" applyProtection="1">
      <alignment horizontal="right" vertical="center"/>
      <protection locked="0"/>
    </xf>
    <xf numFmtId="180" fontId="0" fillId="0" borderId="50" xfId="0" applyNumberFormat="1" applyBorder="1" applyAlignment="1" applyProtection="1">
      <alignment horizontal="right" vertical="center"/>
      <protection locked="0"/>
    </xf>
    <xf numFmtId="180" fontId="0" fillId="0" borderId="37" xfId="0" applyNumberFormat="1" applyBorder="1" applyAlignment="1" applyProtection="1">
      <alignment horizontal="right" vertical="center"/>
      <protection locked="0"/>
    </xf>
    <xf numFmtId="180" fontId="0" fillId="0" borderId="53" xfId="0" applyNumberFormat="1" applyBorder="1" applyAlignment="1" applyProtection="1">
      <alignment horizontal="right" vertical="center"/>
      <protection locked="0"/>
    </xf>
    <xf numFmtId="0" fontId="37" fillId="12" borderId="120" xfId="2" applyFont="1" applyFill="1" applyBorder="1" applyAlignment="1" applyProtection="1">
      <alignment horizontal="left" vertical="center"/>
      <protection locked="0"/>
    </xf>
    <xf numFmtId="179" fontId="37" fillId="12" borderId="121" xfId="0" applyNumberFormat="1" applyFont="1" applyFill="1" applyBorder="1" applyAlignment="1" applyProtection="1">
      <alignment horizontal="left" vertical="center"/>
      <protection locked="0"/>
    </xf>
    <xf numFmtId="179" fontId="0" fillId="12" borderId="121" xfId="0" applyNumberFormat="1" applyFill="1" applyBorder="1" applyAlignment="1" applyProtection="1">
      <alignment horizontal="center" vertical="center"/>
      <protection locked="0"/>
    </xf>
    <xf numFmtId="0" fontId="0" fillId="12" borderId="81" xfId="0" applyFill="1" applyBorder="1" applyAlignment="1" applyProtection="1">
      <alignment horizontal="center" vertical="center"/>
      <protection locked="0"/>
    </xf>
    <xf numFmtId="180" fontId="37" fillId="12" borderId="122" xfId="0" applyNumberFormat="1" applyFont="1" applyFill="1" applyBorder="1" applyAlignment="1" applyProtection="1">
      <alignment horizontal="right" vertical="center"/>
      <protection locked="0"/>
    </xf>
    <xf numFmtId="180" fontId="37" fillId="12" borderId="123" xfId="0" applyNumberFormat="1" applyFont="1" applyFill="1" applyBorder="1" applyAlignment="1" applyProtection="1">
      <alignment horizontal="right" vertical="center"/>
      <protection locked="0"/>
    </xf>
    <xf numFmtId="180" fontId="37" fillId="12" borderId="124" xfId="0" applyNumberFormat="1" applyFont="1" applyFill="1" applyBorder="1" applyAlignment="1" applyProtection="1">
      <alignment horizontal="right" vertical="center"/>
      <protection locked="0"/>
    </xf>
    <xf numFmtId="0" fontId="39" fillId="2" borderId="0" xfId="2" applyFont="1" applyFill="1" applyAlignment="1" applyProtection="1">
      <alignment horizontal="right" vertical="center"/>
      <protection locked="0"/>
    </xf>
    <xf numFmtId="0" fontId="37" fillId="12" borderId="125" xfId="2" applyFont="1" applyFill="1" applyBorder="1" applyAlignment="1" applyProtection="1">
      <alignment horizontal="left" vertical="center"/>
      <protection locked="0"/>
    </xf>
    <xf numFmtId="0" fontId="37" fillId="12" borderId="125" xfId="2" applyFont="1" applyFill="1" applyBorder="1" applyAlignment="1" applyProtection="1">
      <alignment horizontal="center" vertical="center"/>
      <protection locked="0"/>
    </xf>
    <xf numFmtId="0" fontId="0" fillId="12" borderId="10" xfId="0" applyFill="1" applyBorder="1" applyAlignment="1" applyProtection="1">
      <alignment horizontal="center"/>
      <protection locked="0"/>
    </xf>
    <xf numFmtId="2" fontId="37" fillId="12" borderId="126" xfId="2" applyNumberFormat="1" applyFont="1" applyFill="1" applyBorder="1" applyAlignment="1" applyProtection="1">
      <alignment horizontal="center" vertical="center"/>
      <protection locked="0"/>
    </xf>
    <xf numFmtId="2" fontId="37" fillId="12" borderId="127" xfId="2" applyNumberFormat="1" applyFont="1" applyFill="1" applyBorder="1" applyAlignment="1" applyProtection="1">
      <alignment horizontal="center" vertical="center"/>
      <protection locked="0"/>
    </xf>
    <xf numFmtId="2" fontId="37" fillId="12" borderId="128" xfId="2" applyNumberFormat="1" applyFont="1" applyFill="1" applyBorder="1" applyAlignment="1" applyProtection="1">
      <alignment horizontal="center" vertical="center"/>
      <protection locked="0"/>
    </xf>
    <xf numFmtId="2" fontId="37" fillId="0" borderId="101" xfId="2" applyNumberFormat="1" applyFont="1" applyBorder="1" applyAlignment="1" applyProtection="1">
      <alignment horizontal="right" vertical="center"/>
      <protection locked="0"/>
    </xf>
    <xf numFmtId="2" fontId="37" fillId="0" borderId="94" xfId="2" applyNumberFormat="1" applyFont="1" applyBorder="1" applyAlignment="1" applyProtection="1">
      <alignment horizontal="right" vertical="center"/>
      <protection locked="0"/>
    </xf>
    <xf numFmtId="2" fontId="37" fillId="0" borderId="95" xfId="2" applyNumberFormat="1" applyFont="1" applyBorder="1" applyAlignment="1" applyProtection="1">
      <alignment horizontal="right" vertical="center"/>
      <protection locked="0"/>
    </xf>
    <xf numFmtId="0" fontId="43" fillId="2" borderId="0" xfId="2" applyFont="1" applyFill="1" applyAlignment="1" applyProtection="1">
      <alignment horizontal="left" vertical="center"/>
      <protection hidden="1"/>
    </xf>
    <xf numFmtId="0" fontId="49" fillId="2" borderId="0" xfId="2" applyFont="1" applyFill="1" applyAlignment="1" applyProtection="1">
      <alignment horizontal="right" vertical="center"/>
      <protection hidden="1"/>
    </xf>
    <xf numFmtId="0" fontId="50" fillId="2" borderId="0" xfId="2" applyFont="1" applyFill="1" applyAlignment="1" applyProtection="1">
      <alignment horizontal="left" vertical="center"/>
      <protection locked="0"/>
    </xf>
    <xf numFmtId="0" fontId="49" fillId="2" borderId="0" xfId="2" applyFont="1" applyFill="1" applyAlignment="1" applyProtection="1">
      <alignment horizontal="center" vertical="center"/>
      <protection locked="0"/>
    </xf>
    <xf numFmtId="0" fontId="39" fillId="2" borderId="0" xfId="0" applyFont="1" applyFill="1" applyProtection="1">
      <protection locked="0"/>
    </xf>
    <xf numFmtId="0" fontId="0" fillId="12" borderId="57" xfId="0" applyFill="1" applyBorder="1" applyAlignment="1" applyProtection="1">
      <alignment horizontal="center"/>
      <protection locked="0"/>
    </xf>
    <xf numFmtId="181" fontId="37" fillId="2" borderId="0" xfId="2" applyNumberFormat="1" applyFont="1" applyFill="1" applyAlignment="1" applyProtection="1">
      <alignment horizontal="center" vertical="center"/>
      <protection locked="0"/>
    </xf>
    <xf numFmtId="181" fontId="39" fillId="2" borderId="0" xfId="2" applyNumberFormat="1" applyFont="1" applyFill="1" applyAlignment="1" applyProtection="1">
      <alignment horizontal="right" vertical="center"/>
      <protection locked="0"/>
    </xf>
    <xf numFmtId="182" fontId="39" fillId="2" borderId="0" xfId="2" applyNumberFormat="1" applyFont="1" applyFill="1" applyAlignment="1" applyProtection="1">
      <alignment horizontal="right" vertical="center"/>
      <protection locked="0"/>
    </xf>
    <xf numFmtId="0" fontId="37" fillId="12" borderId="103" xfId="2" applyFont="1" applyFill="1" applyBorder="1" applyAlignment="1" applyProtection="1">
      <alignment horizontal="center" vertical="center"/>
      <protection locked="0"/>
    </xf>
    <xf numFmtId="0" fontId="0" fillId="12" borderId="0" xfId="0" applyFill="1" applyAlignment="1" applyProtection="1">
      <alignment horizontal="center"/>
      <protection locked="0"/>
    </xf>
    <xf numFmtId="2" fontId="37" fillId="12" borderId="129" xfId="2" applyNumberFormat="1" applyFont="1" applyFill="1" applyBorder="1" applyAlignment="1" applyProtection="1">
      <alignment horizontal="center" vertical="center"/>
      <protection locked="0"/>
    </xf>
    <xf numFmtId="2" fontId="37" fillId="12" borderId="130" xfId="2" applyNumberFormat="1" applyFont="1" applyFill="1" applyBorder="1" applyAlignment="1" applyProtection="1">
      <alignment horizontal="center" vertical="center"/>
      <protection locked="0"/>
    </xf>
    <xf numFmtId="2" fontId="37" fillId="12" borderId="131" xfId="2" applyNumberFormat="1" applyFont="1" applyFill="1" applyBorder="1" applyAlignment="1" applyProtection="1">
      <alignment horizontal="center" vertical="center"/>
      <protection locked="0"/>
    </xf>
    <xf numFmtId="2" fontId="37" fillId="0" borderId="115" xfId="2" applyNumberFormat="1" applyFont="1" applyBorder="1" applyAlignment="1" applyProtection="1">
      <alignment horizontal="right" vertical="center"/>
      <protection locked="0"/>
    </xf>
    <xf numFmtId="2" fontId="37" fillId="0" borderId="107" xfId="2" applyNumberFormat="1" applyFont="1" applyBorder="1" applyAlignment="1" applyProtection="1">
      <alignment horizontal="right" vertical="center"/>
      <protection locked="0"/>
    </xf>
    <xf numFmtId="2" fontId="37" fillId="0" borderId="108" xfId="2" applyNumberFormat="1" applyFont="1" applyBorder="1" applyAlignment="1" applyProtection="1">
      <alignment horizontal="right" vertical="center"/>
      <protection locked="0"/>
    </xf>
    <xf numFmtId="0" fontId="37" fillId="12" borderId="132" xfId="2" applyFont="1" applyFill="1" applyBorder="1" applyAlignment="1" applyProtection="1">
      <alignment horizontal="left" vertical="center"/>
      <protection locked="0"/>
    </xf>
    <xf numFmtId="175" fontId="51" fillId="0" borderId="0" xfId="2" applyNumberFormat="1" applyFont="1" applyAlignment="1" applyProtection="1">
      <alignment horizontal="left" vertical="top"/>
      <protection locked="0"/>
    </xf>
    <xf numFmtId="0" fontId="0" fillId="12" borderId="132" xfId="0" applyFill="1" applyBorder="1" applyAlignment="1" applyProtection="1">
      <alignment horizontal="left"/>
      <protection locked="0"/>
    </xf>
    <xf numFmtId="0" fontId="0" fillId="12" borderId="97" xfId="0" applyFill="1" applyBorder="1" applyAlignment="1" applyProtection="1">
      <alignment horizontal="center" wrapText="1"/>
      <protection locked="0"/>
    </xf>
    <xf numFmtId="0" fontId="0" fillId="12" borderId="101" xfId="0" applyFill="1" applyBorder="1" applyAlignment="1" applyProtection="1">
      <alignment horizontal="center"/>
      <protection locked="0"/>
    </xf>
    <xf numFmtId="0" fontId="1" fillId="12" borderId="94" xfId="2" applyFont="1" applyFill="1" applyBorder="1" applyAlignment="1" applyProtection="1">
      <alignment horizontal="center"/>
      <protection locked="0"/>
    </xf>
    <xf numFmtId="0" fontId="1" fillId="12" borderId="95" xfId="2" applyFont="1" applyFill="1" applyBorder="1" applyAlignment="1" applyProtection="1">
      <alignment horizontal="center"/>
      <protection locked="0"/>
    </xf>
    <xf numFmtId="0" fontId="34" fillId="0" borderId="24" xfId="2" applyFont="1" applyBorder="1" applyAlignment="1" applyProtection="1">
      <alignment horizontal="center"/>
      <protection locked="0"/>
    </xf>
    <xf numFmtId="172" fontId="39" fillId="2" borderId="0" xfId="2" applyNumberFormat="1" applyFont="1" applyFill="1" applyAlignment="1" applyProtection="1">
      <alignment horizontal="center" vertical="center"/>
      <protection locked="0"/>
    </xf>
    <xf numFmtId="0" fontId="39" fillId="2" borderId="0" xfId="2" applyFont="1" applyFill="1" applyAlignment="1" applyProtection="1">
      <alignment horizontal="center" vertical="center"/>
      <protection hidden="1"/>
    </xf>
    <xf numFmtId="181" fontId="39" fillId="2" borderId="0" xfId="2" applyNumberFormat="1" applyFont="1" applyFill="1" applyAlignment="1" applyProtection="1">
      <alignment horizontal="center" vertical="center"/>
      <protection hidden="1"/>
    </xf>
    <xf numFmtId="0" fontId="39" fillId="2" borderId="0" xfId="0" applyFont="1" applyFill="1" applyProtection="1">
      <protection hidden="1"/>
    </xf>
    <xf numFmtId="181" fontId="39" fillId="2" borderId="0" xfId="2" applyNumberFormat="1" applyFont="1" applyFill="1" applyAlignment="1" applyProtection="1">
      <alignment horizontal="center" vertical="center"/>
      <protection locked="0"/>
    </xf>
    <xf numFmtId="174" fontId="1" fillId="0" borderId="110" xfId="2" applyNumberFormat="1" applyFont="1" applyBorder="1" applyAlignment="1" applyProtection="1">
      <alignment horizontal="center" vertical="center"/>
      <protection locked="0"/>
    </xf>
    <xf numFmtId="0" fontId="1" fillId="0" borderId="0" xfId="2" applyFont="1" applyAlignment="1" applyProtection="1">
      <alignment horizontal="left"/>
      <protection locked="0"/>
    </xf>
    <xf numFmtId="172" fontId="1" fillId="2" borderId="0" xfId="2" applyNumberFormat="1" applyFont="1" applyFill="1" applyAlignment="1" applyProtection="1">
      <alignment vertical="center"/>
      <protection locked="0"/>
    </xf>
    <xf numFmtId="0" fontId="1" fillId="2" borderId="0" xfId="2" applyFont="1" applyFill="1" applyAlignment="1" applyProtection="1">
      <alignment wrapText="1"/>
      <protection locked="0"/>
    </xf>
    <xf numFmtId="174" fontId="37" fillId="13" borderId="96" xfId="2" applyNumberFormat="1" applyFont="1" applyFill="1" applyBorder="1" applyAlignment="1" applyProtection="1">
      <alignment horizontal="center" vertical="center"/>
      <protection locked="0"/>
    </xf>
    <xf numFmtId="0" fontId="34" fillId="16" borderId="34" xfId="0" applyFont="1" applyFill="1" applyBorder="1" applyAlignment="1">
      <alignment horizontal="center" vertical="center" wrapText="1"/>
    </xf>
    <xf numFmtId="0" fontId="34" fillId="16" borderId="57" xfId="0" applyFont="1" applyFill="1" applyBorder="1" applyAlignment="1">
      <alignment horizontal="center" vertical="center" wrapText="1"/>
    </xf>
    <xf numFmtId="0" fontId="34" fillId="16" borderId="97" xfId="0" applyFont="1" applyFill="1" applyBorder="1" applyAlignment="1">
      <alignment horizontal="center" vertical="center" wrapText="1"/>
    </xf>
    <xf numFmtId="2" fontId="34" fillId="16" borderId="119" xfId="2" applyNumberFormat="1" applyFont="1" applyFill="1" applyBorder="1" applyAlignment="1" applyProtection="1">
      <alignment horizontal="center" wrapText="1"/>
      <protection hidden="1"/>
    </xf>
    <xf numFmtId="0" fontId="34" fillId="16" borderId="119" xfId="2" applyFont="1" applyFill="1" applyBorder="1" applyAlignment="1" applyProtection="1">
      <alignment horizontal="center" wrapText="1"/>
      <protection hidden="1"/>
    </xf>
    <xf numFmtId="0" fontId="34" fillId="16" borderId="56" xfId="2" applyFont="1" applyFill="1" applyBorder="1" applyAlignment="1" applyProtection="1">
      <alignment horizontal="center" wrapText="1"/>
      <protection hidden="1"/>
    </xf>
    <xf numFmtId="0" fontId="37" fillId="12" borderId="133" xfId="2" applyFont="1" applyFill="1" applyBorder="1" applyAlignment="1" applyProtection="1">
      <alignment horizontal="center" vertical="center"/>
      <protection locked="0"/>
    </xf>
    <xf numFmtId="2" fontId="37" fillId="12" borderId="119" xfId="2" applyNumberFormat="1" applyFont="1" applyFill="1" applyBorder="1" applyAlignment="1" applyProtection="1">
      <alignment horizontal="center" vertical="center"/>
      <protection locked="0"/>
    </xf>
    <xf numFmtId="0" fontId="37" fillId="13" borderId="0" xfId="2" applyFont="1" applyFill="1" applyAlignment="1" applyProtection="1">
      <alignment horizontal="left" vertical="center"/>
      <protection locked="0"/>
    </xf>
    <xf numFmtId="0" fontId="37" fillId="13" borderId="0" xfId="2" applyFont="1" applyFill="1" applyAlignment="1" applyProtection="1">
      <alignment horizontal="center" vertical="center"/>
      <protection locked="0"/>
    </xf>
    <xf numFmtId="2" fontId="37" fillId="13" borderId="0" xfId="2" applyNumberFormat="1" applyFont="1" applyFill="1" applyAlignment="1" applyProtection="1">
      <alignment horizontal="center" vertical="center"/>
      <protection locked="0"/>
    </xf>
    <xf numFmtId="2" fontId="37" fillId="0" borderId="100" xfId="2" applyNumberFormat="1" applyFont="1" applyBorder="1" applyAlignment="1" applyProtection="1">
      <alignment horizontal="center" vertical="center"/>
      <protection locked="0"/>
    </xf>
    <xf numFmtId="2" fontId="37" fillId="0" borderId="118" xfId="2" applyNumberFormat="1" applyFont="1" applyBorder="1" applyAlignment="1" applyProtection="1">
      <alignment horizontal="center" vertical="center"/>
      <protection locked="0"/>
    </xf>
    <xf numFmtId="2" fontId="37" fillId="0" borderId="119" xfId="2" applyNumberFormat="1" applyFont="1" applyBorder="1" applyAlignment="1" applyProtection="1">
      <alignment horizontal="center" vertical="center"/>
      <protection locked="0"/>
    </xf>
    <xf numFmtId="2" fontId="37" fillId="0" borderId="113" xfId="2" applyNumberFormat="1" applyFont="1" applyBorder="1" applyAlignment="1" applyProtection="1">
      <alignment horizontal="center" vertical="center"/>
      <protection locked="0"/>
    </xf>
    <xf numFmtId="0" fontId="0" fillId="0" borderId="0" xfId="0" applyAlignment="1" applyProtection="1">
      <alignment horizontal="left"/>
      <protection locked="0"/>
    </xf>
    <xf numFmtId="0" fontId="0" fillId="12" borderId="0" xfId="0" applyFill="1" applyProtection="1">
      <protection hidden="1"/>
    </xf>
    <xf numFmtId="0" fontId="4" fillId="12" borderId="0" xfId="0" applyFont="1" applyFill="1" applyProtection="1">
      <protection hidden="1"/>
    </xf>
    <xf numFmtId="0" fontId="11" fillId="12" borderId="13" xfId="0" applyFont="1" applyFill="1" applyBorder="1" applyAlignment="1" applyProtection="1">
      <alignment horizontal="center" vertical="center"/>
      <protection hidden="1"/>
    </xf>
    <xf numFmtId="0" fontId="0" fillId="12" borderId="13" xfId="0" applyFill="1" applyBorder="1" applyProtection="1">
      <protection hidden="1"/>
    </xf>
    <xf numFmtId="0" fontId="11" fillId="12" borderId="13" xfId="0" applyFont="1" applyFill="1" applyBorder="1" applyAlignment="1" applyProtection="1">
      <alignment horizontal="left" vertical="center" wrapText="1" indent="11"/>
      <protection hidden="1"/>
    </xf>
    <xf numFmtId="0" fontId="19" fillId="12" borderId="9" xfId="0" applyFont="1" applyFill="1" applyBorder="1" applyAlignment="1" applyProtection="1">
      <alignment horizontal="center" vertical="center"/>
      <protection hidden="1"/>
    </xf>
    <xf numFmtId="0" fontId="0" fillId="13" borderId="0" xfId="0" applyFill="1" applyAlignment="1">
      <alignment vertical="center"/>
    </xf>
    <xf numFmtId="0" fontId="37" fillId="12" borderId="0" xfId="0" applyFont="1" applyFill="1" applyAlignment="1" applyProtection="1">
      <alignment horizontal="center" vertical="center"/>
      <protection hidden="1"/>
    </xf>
    <xf numFmtId="0" fontId="37" fillId="12" borderId="0" xfId="0" applyFont="1" applyFill="1" applyAlignment="1" applyProtection="1">
      <alignment vertical="center"/>
      <protection hidden="1"/>
    </xf>
    <xf numFmtId="0" fontId="39" fillId="12" borderId="57" xfId="0" applyFont="1" applyFill="1" applyBorder="1" applyAlignment="1" applyProtection="1">
      <alignment horizontal="left" vertical="center"/>
      <protection hidden="1"/>
    </xf>
    <xf numFmtId="0" fontId="37" fillId="12" borderId="57" xfId="0" applyFont="1" applyFill="1" applyBorder="1" applyAlignment="1" applyProtection="1">
      <alignment horizontal="left" vertical="center"/>
      <protection hidden="1"/>
    </xf>
    <xf numFmtId="0" fontId="39" fillId="12" borderId="132" xfId="0" applyFont="1" applyFill="1" applyBorder="1" applyAlignment="1" applyProtection="1">
      <alignment horizontal="left" vertical="center"/>
      <protection hidden="1"/>
    </xf>
    <xf numFmtId="0" fontId="37" fillId="12" borderId="132" xfId="0" applyFont="1" applyFill="1" applyBorder="1" applyAlignment="1" applyProtection="1">
      <alignment horizontal="left" vertical="center"/>
      <protection hidden="1"/>
    </xf>
    <xf numFmtId="0" fontId="37" fillId="12" borderId="132" xfId="0" applyFont="1" applyFill="1" applyBorder="1" applyAlignment="1" applyProtection="1">
      <alignment vertical="center"/>
      <protection hidden="1"/>
    </xf>
    <xf numFmtId="0" fontId="49" fillId="12" borderId="0" xfId="0" applyFont="1" applyFill="1" applyAlignment="1" applyProtection="1">
      <alignment horizontal="center" vertical="center"/>
      <protection hidden="1"/>
    </xf>
    <xf numFmtId="0" fontId="52" fillId="12" borderId="0" xfId="0" applyFont="1" applyFill="1" applyAlignment="1" applyProtection="1">
      <alignment horizontal="center" vertical="center"/>
      <protection hidden="1"/>
    </xf>
    <xf numFmtId="0" fontId="53" fillId="12" borderId="132" xfId="0" applyFont="1" applyFill="1" applyBorder="1" applyAlignment="1" applyProtection="1">
      <alignment horizontal="left" vertical="center"/>
      <protection hidden="1"/>
    </xf>
    <xf numFmtId="0" fontId="49" fillId="12" borderId="132" xfId="0" applyFont="1" applyFill="1" applyBorder="1" applyAlignment="1" applyProtection="1">
      <alignment horizontal="left" vertical="center"/>
      <protection hidden="1"/>
    </xf>
    <xf numFmtId="0" fontId="53" fillId="12" borderId="134" xfId="0" applyFont="1" applyFill="1" applyBorder="1" applyAlignment="1" applyProtection="1">
      <alignment horizontal="left" vertical="center"/>
      <protection hidden="1"/>
    </xf>
    <xf numFmtId="0" fontId="49" fillId="12" borderId="134" xfId="0" applyFont="1" applyFill="1" applyBorder="1" applyAlignment="1" applyProtection="1">
      <alignment horizontal="left" vertical="center"/>
      <protection hidden="1"/>
    </xf>
    <xf numFmtId="0" fontId="30" fillId="12" borderId="0" xfId="0" applyFont="1" applyFill="1" applyAlignment="1" applyProtection="1">
      <alignment vertical="center"/>
      <protection hidden="1"/>
    </xf>
    <xf numFmtId="0" fontId="30" fillId="12" borderId="0" xfId="0" applyFont="1" applyFill="1" applyAlignment="1" applyProtection="1">
      <alignment horizontal="center" vertical="center"/>
      <protection hidden="1"/>
    </xf>
    <xf numFmtId="3" fontId="19" fillId="12" borderId="0" xfId="0" applyNumberFormat="1" applyFont="1" applyFill="1" applyAlignment="1" applyProtection="1">
      <alignment horizontal="center" vertical="center"/>
      <protection hidden="1"/>
    </xf>
    <xf numFmtId="0" fontId="41" fillId="12" borderId="0" xfId="0" applyFont="1" applyFill="1" applyAlignment="1" applyProtection="1">
      <alignment vertical="center"/>
      <protection hidden="1"/>
    </xf>
    <xf numFmtId="0" fontId="41" fillId="12" borderId="0" xfId="0" applyFont="1" applyFill="1" applyAlignment="1" applyProtection="1">
      <alignment horizontal="center" vertical="center"/>
      <protection hidden="1"/>
    </xf>
    <xf numFmtId="0" fontId="34" fillId="12" borderId="0" xfId="0" applyFont="1" applyFill="1" applyAlignment="1" applyProtection="1">
      <alignment horizontal="center" vertical="center"/>
      <protection hidden="1"/>
    </xf>
    <xf numFmtId="0" fontId="4" fillId="12" borderId="2" xfId="0" applyFont="1" applyFill="1" applyBorder="1" applyAlignment="1" applyProtection="1">
      <alignment horizontal="center" vertical="center"/>
      <protection hidden="1"/>
    </xf>
    <xf numFmtId="0" fontId="4" fillId="12" borderId="63" xfId="0" applyFont="1" applyFill="1" applyBorder="1" applyAlignment="1" applyProtection="1">
      <alignment horizontal="center" vertical="center"/>
      <protection hidden="1"/>
    </xf>
    <xf numFmtId="3" fontId="19" fillId="12" borderId="2" xfId="0" applyNumberFormat="1" applyFont="1" applyFill="1" applyBorder="1" applyAlignment="1" applyProtection="1">
      <alignment horizontal="center" vertical="center"/>
      <protection hidden="1"/>
    </xf>
    <xf numFmtId="3" fontId="4" fillId="12" borderId="63" xfId="0" applyNumberFormat="1" applyFont="1" applyFill="1" applyBorder="1" applyAlignment="1" applyProtection="1">
      <alignment horizontal="center" vertical="center"/>
      <protection hidden="1"/>
    </xf>
    <xf numFmtId="0" fontId="19" fillId="12" borderId="13" xfId="0" applyFont="1" applyFill="1" applyBorder="1" applyAlignment="1" applyProtection="1">
      <alignment horizontal="center" vertical="center"/>
      <protection hidden="1"/>
    </xf>
    <xf numFmtId="0" fontId="4" fillId="12" borderId="77" xfId="0" applyFont="1" applyFill="1" applyBorder="1" applyAlignment="1" applyProtection="1">
      <alignment horizontal="center" vertical="center" wrapText="1"/>
      <protection hidden="1"/>
    </xf>
    <xf numFmtId="3" fontId="4" fillId="12" borderId="77" xfId="0" applyNumberFormat="1" applyFont="1" applyFill="1" applyBorder="1" applyAlignment="1" applyProtection="1">
      <alignment horizontal="center" vertical="center" wrapText="1"/>
      <protection hidden="1"/>
    </xf>
    <xf numFmtId="0" fontId="4" fillId="12" borderId="0" xfId="0" applyFont="1" applyFill="1" applyAlignment="1" applyProtection="1">
      <alignment horizontal="center"/>
      <protection hidden="1"/>
    </xf>
    <xf numFmtId="0" fontId="4" fillId="12" borderId="74" xfId="0" applyFont="1" applyFill="1" applyBorder="1" applyAlignment="1" applyProtection="1">
      <alignment vertical="center"/>
      <protection hidden="1"/>
    </xf>
    <xf numFmtId="167" fontId="4" fillId="12" borderId="9" xfId="0" applyNumberFormat="1" applyFont="1" applyFill="1" applyBorder="1" applyAlignment="1" applyProtection="1">
      <alignment horizontal="center" vertical="center"/>
      <protection hidden="1"/>
    </xf>
    <xf numFmtId="167" fontId="4" fillId="12" borderId="9" xfId="0" applyNumberFormat="1" applyFont="1" applyFill="1" applyBorder="1" applyAlignment="1" applyProtection="1">
      <alignment horizontal="center"/>
      <protection hidden="1"/>
    </xf>
    <xf numFmtId="3" fontId="4" fillId="12" borderId="0" xfId="0" applyNumberFormat="1" applyFont="1" applyFill="1" applyAlignment="1" applyProtection="1">
      <alignment horizontal="center"/>
      <protection hidden="1"/>
    </xf>
    <xf numFmtId="0" fontId="0" fillId="12" borderId="0" xfId="0" applyFill="1" applyAlignment="1" applyProtection="1">
      <alignment horizontal="center"/>
      <protection hidden="1"/>
    </xf>
    <xf numFmtId="0" fontId="0" fillId="12" borderId="74" xfId="0" applyFill="1" applyBorder="1" applyAlignment="1" applyProtection="1">
      <alignment vertical="center"/>
      <protection hidden="1"/>
    </xf>
    <xf numFmtId="0" fontId="19" fillId="12" borderId="0" xfId="0" applyFont="1" applyFill="1" applyAlignment="1" applyProtection="1">
      <alignment horizontal="center"/>
      <protection hidden="1"/>
    </xf>
    <xf numFmtId="0" fontId="4" fillId="12" borderId="74" xfId="0" applyFont="1" applyFill="1" applyBorder="1" applyAlignment="1" applyProtection="1">
      <alignment horizontal="left" vertical="center"/>
      <protection hidden="1"/>
    </xf>
    <xf numFmtId="183" fontId="19" fillId="12" borderId="0" xfId="0" applyNumberFormat="1" applyFont="1" applyFill="1" applyAlignment="1" applyProtection="1">
      <alignment horizontal="center" vertical="center"/>
      <protection hidden="1"/>
    </xf>
    <xf numFmtId="0" fontId="0" fillId="12" borderId="74" xfId="0" applyFill="1" applyBorder="1" applyAlignment="1" applyProtection="1">
      <alignment horizontal="left" vertical="center"/>
      <protection hidden="1"/>
    </xf>
    <xf numFmtId="183" fontId="34" fillId="12" borderId="0" xfId="0" applyNumberFormat="1" applyFont="1" applyFill="1" applyAlignment="1" applyProtection="1">
      <alignment horizontal="center" vertical="center"/>
      <protection hidden="1"/>
    </xf>
    <xf numFmtId="0" fontId="4" fillId="12" borderId="74" xfId="0" applyFont="1" applyFill="1" applyBorder="1" applyAlignment="1" applyProtection="1">
      <alignment horizontal="left" vertical="center" wrapText="1"/>
      <protection hidden="1"/>
    </xf>
    <xf numFmtId="0" fontId="54" fillId="12" borderId="0" xfId="0" applyFont="1" applyFill="1" applyAlignment="1" applyProtection="1">
      <alignment horizontal="center"/>
      <protection hidden="1"/>
    </xf>
    <xf numFmtId="0" fontId="0" fillId="12" borderId="11" xfId="0" applyFill="1" applyBorder="1" applyAlignment="1" applyProtection="1">
      <alignment horizontal="left"/>
      <protection locked="0"/>
    </xf>
    <xf numFmtId="0" fontId="0" fillId="12" borderId="72" xfId="0" applyFill="1" applyBorder="1" applyProtection="1">
      <protection locked="0"/>
    </xf>
    <xf numFmtId="167" fontId="4" fillId="12" borderId="9" xfId="0" applyNumberFormat="1" applyFont="1" applyFill="1" applyBorder="1" applyAlignment="1" applyProtection="1">
      <alignment horizontal="center"/>
      <protection locked="0"/>
    </xf>
    <xf numFmtId="0" fontId="0" fillId="12" borderId="0" xfId="0" applyFill="1" applyAlignment="1" applyProtection="1">
      <alignment horizontal="center" vertical="center"/>
      <protection hidden="1"/>
    </xf>
    <xf numFmtId="0" fontId="34" fillId="12" borderId="74" xfId="0" applyFont="1" applyFill="1" applyBorder="1" applyAlignment="1" applyProtection="1">
      <alignment vertical="center" wrapText="1"/>
      <protection hidden="1"/>
    </xf>
    <xf numFmtId="1" fontId="4" fillId="12" borderId="9" xfId="0" applyNumberFormat="1" applyFont="1" applyFill="1" applyBorder="1" applyAlignment="1" applyProtection="1">
      <alignment horizontal="center"/>
      <protection hidden="1"/>
    </xf>
    <xf numFmtId="1" fontId="34" fillId="12" borderId="0" xfId="0" applyNumberFormat="1" applyFont="1" applyFill="1" applyAlignment="1" applyProtection="1">
      <alignment horizontal="center" vertical="center"/>
      <protection hidden="1"/>
    </xf>
    <xf numFmtId="0" fontId="30" fillId="12" borderId="0" xfId="0" applyFont="1" applyFill="1" applyAlignment="1" applyProtection="1">
      <alignment horizontal="left" vertical="center"/>
      <protection hidden="1"/>
    </xf>
    <xf numFmtId="1" fontId="19" fillId="12" borderId="0" xfId="0" applyNumberFormat="1" applyFont="1" applyFill="1" applyAlignment="1" applyProtection="1">
      <alignment horizontal="center" vertical="center"/>
      <protection hidden="1"/>
    </xf>
    <xf numFmtId="0" fontId="55" fillId="12" borderId="0" xfId="0" applyFont="1" applyFill="1" applyProtection="1">
      <protection hidden="1"/>
    </xf>
    <xf numFmtId="0" fontId="45" fillId="12" borderId="0" xfId="0" applyFont="1" applyFill="1" applyProtection="1">
      <protection hidden="1"/>
    </xf>
    <xf numFmtId="0" fontId="31" fillId="12" borderId="0" xfId="0" applyFont="1" applyFill="1" applyProtection="1">
      <protection hidden="1"/>
    </xf>
    <xf numFmtId="0" fontId="0" fillId="12" borderId="74" xfId="0" applyFill="1" applyBorder="1" applyAlignment="1" applyProtection="1">
      <alignment vertical="center"/>
      <protection locked="0"/>
    </xf>
    <xf numFmtId="167" fontId="0" fillId="12" borderId="9" xfId="0" applyNumberFormat="1" applyFill="1" applyBorder="1" applyAlignment="1" applyProtection="1">
      <alignment horizontal="center"/>
      <protection locked="0"/>
    </xf>
    <xf numFmtId="0" fontId="43" fillId="2" borderId="0" xfId="0" applyFont="1" applyFill="1" applyProtection="1">
      <protection hidden="1"/>
    </xf>
    <xf numFmtId="0" fontId="25" fillId="13" borderId="0" xfId="0" applyFont="1" applyFill="1" applyAlignment="1">
      <alignment horizontal="center"/>
    </xf>
    <xf numFmtId="184" fontId="25" fillId="13" borderId="0" xfId="0" applyNumberFormat="1" applyFont="1" applyFill="1" applyAlignment="1">
      <alignment horizontal="center"/>
    </xf>
    <xf numFmtId="184" fontId="0" fillId="13" borderId="0" xfId="0" applyNumberFormat="1" applyFill="1"/>
    <xf numFmtId="0" fontId="43" fillId="2" borderId="0" xfId="0" applyFont="1" applyFill="1" applyAlignment="1" applyProtection="1">
      <alignment horizontal="center"/>
      <protection hidden="1"/>
    </xf>
    <xf numFmtId="0" fontId="56" fillId="2" borderId="0" xfId="0" applyFont="1" applyFill="1" applyProtection="1">
      <protection hidden="1"/>
    </xf>
    <xf numFmtId="0" fontId="37" fillId="2" borderId="77" xfId="0" applyFont="1" applyFill="1" applyBorder="1" applyProtection="1">
      <protection hidden="1"/>
    </xf>
    <xf numFmtId="0" fontId="37" fillId="2" borderId="77" xfId="0" applyFont="1" applyFill="1" applyBorder="1" applyAlignment="1" applyProtection="1">
      <alignment horizontal="center"/>
      <protection hidden="1"/>
    </xf>
    <xf numFmtId="0" fontId="37" fillId="2" borderId="135" xfId="0" applyFont="1" applyFill="1" applyBorder="1" applyAlignment="1" applyProtection="1">
      <alignment horizontal="center"/>
      <protection hidden="1"/>
    </xf>
    <xf numFmtId="0" fontId="37" fillId="2" borderId="14" xfId="0" applyFont="1" applyFill="1" applyBorder="1" applyAlignment="1" applyProtection="1">
      <alignment horizontal="center"/>
      <protection hidden="1"/>
    </xf>
    <xf numFmtId="0" fontId="37" fillId="2" borderId="12" xfId="0" applyFont="1" applyFill="1" applyBorder="1" applyAlignment="1" applyProtection="1">
      <alignment horizontal="center"/>
      <protection hidden="1"/>
    </xf>
    <xf numFmtId="0" fontId="39" fillId="2" borderId="9" xfId="0" applyFont="1" applyFill="1" applyBorder="1" applyProtection="1">
      <protection hidden="1"/>
    </xf>
    <xf numFmtId="0" fontId="53" fillId="2" borderId="9" xfId="0" applyFont="1" applyFill="1" applyBorder="1" applyAlignment="1" applyProtection="1">
      <alignment horizontal="center"/>
      <protection hidden="1"/>
    </xf>
    <xf numFmtId="1" fontId="39" fillId="12" borderId="136" xfId="0" applyNumberFormat="1" applyFont="1" applyFill="1" applyBorder="1" applyAlignment="1" applyProtection="1">
      <alignment horizontal="center"/>
      <protection locked="0"/>
    </xf>
    <xf numFmtId="167" fontId="39" fillId="12" borderId="137" xfId="0" applyNumberFormat="1" applyFont="1" applyFill="1" applyBorder="1" applyAlignment="1" applyProtection="1">
      <alignment horizontal="center"/>
      <protection locked="0"/>
    </xf>
    <xf numFmtId="167" fontId="39" fillId="12" borderId="136" xfId="0" applyNumberFormat="1" applyFont="1" applyFill="1" applyBorder="1" applyAlignment="1" applyProtection="1">
      <alignment horizontal="center"/>
      <protection locked="0"/>
    </xf>
    <xf numFmtId="167" fontId="53" fillId="2" borderId="9" xfId="0" applyNumberFormat="1" applyFont="1" applyFill="1" applyBorder="1" applyAlignment="1" applyProtection="1">
      <alignment horizontal="center"/>
      <protection hidden="1"/>
    </xf>
    <xf numFmtId="1" fontId="53" fillId="2" borderId="9" xfId="0" applyNumberFormat="1" applyFont="1" applyFill="1" applyBorder="1" applyAlignment="1" applyProtection="1">
      <alignment horizontal="center"/>
      <protection hidden="1"/>
    </xf>
    <xf numFmtId="10" fontId="53" fillId="2" borderId="15" xfId="0" applyNumberFormat="1" applyFont="1" applyFill="1" applyBorder="1" applyAlignment="1" applyProtection="1">
      <alignment horizontal="center"/>
      <protection hidden="1"/>
    </xf>
    <xf numFmtId="1" fontId="39" fillId="12" borderId="138" xfId="0" applyNumberFormat="1" applyFont="1" applyFill="1" applyBorder="1" applyAlignment="1" applyProtection="1">
      <alignment horizontal="center"/>
      <protection locked="0"/>
    </xf>
    <xf numFmtId="167" fontId="39" fillId="12" borderId="139" xfId="0" applyNumberFormat="1" applyFont="1" applyFill="1" applyBorder="1" applyAlignment="1" applyProtection="1">
      <alignment horizontal="center"/>
      <protection locked="0"/>
    </xf>
    <xf numFmtId="167" fontId="39" fillId="12" borderId="138" xfId="0" applyNumberFormat="1" applyFont="1" applyFill="1" applyBorder="1" applyAlignment="1" applyProtection="1">
      <alignment horizontal="center"/>
      <protection locked="0"/>
    </xf>
    <xf numFmtId="0" fontId="53" fillId="2" borderId="11" xfId="0" applyFont="1" applyFill="1" applyBorder="1" applyAlignment="1" applyProtection="1">
      <alignment horizontal="center"/>
      <protection hidden="1"/>
    </xf>
    <xf numFmtId="167" fontId="53" fillId="2" borderId="16" xfId="0" applyNumberFormat="1" applyFont="1" applyFill="1" applyBorder="1" applyAlignment="1" applyProtection="1">
      <alignment horizontal="center"/>
      <protection hidden="1"/>
    </xf>
    <xf numFmtId="167" fontId="53" fillId="2" borderId="72" xfId="0" applyNumberFormat="1" applyFont="1" applyFill="1" applyBorder="1" applyAlignment="1" applyProtection="1">
      <alignment horizontal="center"/>
      <protection hidden="1"/>
    </xf>
    <xf numFmtId="10" fontId="53" fillId="2" borderId="11" xfId="0" applyNumberFormat="1" applyFont="1" applyFill="1" applyBorder="1" applyAlignment="1" applyProtection="1">
      <alignment horizontal="center"/>
      <protection hidden="1"/>
    </xf>
    <xf numFmtId="2" fontId="38" fillId="2" borderId="9" xfId="0" applyNumberFormat="1" applyFont="1" applyFill="1" applyBorder="1" applyAlignment="1" applyProtection="1">
      <alignment horizontal="center"/>
      <protection hidden="1"/>
    </xf>
    <xf numFmtId="1" fontId="38" fillId="2" borderId="9" xfId="0" applyNumberFormat="1" applyFont="1" applyFill="1" applyBorder="1" applyAlignment="1" applyProtection="1">
      <alignment horizontal="center"/>
      <protection hidden="1"/>
    </xf>
    <xf numFmtId="167" fontId="38" fillId="2" borderId="72" xfId="0" applyNumberFormat="1" applyFont="1" applyFill="1" applyBorder="1" applyAlignment="1" applyProtection="1">
      <alignment horizontal="center"/>
      <protection hidden="1"/>
    </xf>
    <xf numFmtId="167" fontId="38" fillId="2" borderId="9" xfId="0" applyNumberFormat="1" applyFont="1" applyFill="1" applyBorder="1" applyAlignment="1" applyProtection="1">
      <alignment horizontal="center"/>
      <protection hidden="1"/>
    </xf>
    <xf numFmtId="1" fontId="46" fillId="2" borderId="9" xfId="0" applyNumberFormat="1" applyFont="1" applyFill="1" applyBorder="1" applyAlignment="1" applyProtection="1">
      <alignment horizontal="center"/>
      <protection hidden="1"/>
    </xf>
    <xf numFmtId="10" fontId="38" fillId="2" borderId="11" xfId="0" applyNumberFormat="1" applyFont="1" applyFill="1" applyBorder="1" applyAlignment="1" applyProtection="1">
      <alignment horizontal="center"/>
      <protection hidden="1"/>
    </xf>
    <xf numFmtId="167" fontId="38" fillId="2" borderId="16" xfId="0" applyNumberFormat="1" applyFont="1" applyFill="1" applyBorder="1" applyAlignment="1" applyProtection="1">
      <alignment horizontal="center"/>
      <protection hidden="1"/>
    </xf>
    <xf numFmtId="0" fontId="0" fillId="2" borderId="2" xfId="0" applyFill="1" applyBorder="1" applyProtection="1">
      <protection hidden="1"/>
    </xf>
    <xf numFmtId="0" fontId="0" fillId="2" borderId="2" xfId="0" applyFill="1" applyBorder="1" applyAlignment="1" applyProtection="1">
      <alignment horizontal="center"/>
      <protection hidden="1"/>
    </xf>
    <xf numFmtId="0" fontId="0" fillId="2" borderId="0" xfId="0" applyFill="1"/>
    <xf numFmtId="0" fontId="0" fillId="15" borderId="0" xfId="0" applyFill="1" applyProtection="1">
      <protection hidden="1"/>
    </xf>
    <xf numFmtId="0" fontId="57" fillId="15" borderId="6" xfId="0" applyFont="1" applyFill="1" applyBorder="1" applyAlignment="1" applyProtection="1">
      <alignment horizontal="center"/>
      <protection hidden="1"/>
    </xf>
    <xf numFmtId="0" fontId="0" fillId="15" borderId="6" xfId="0" applyFill="1" applyBorder="1" applyProtection="1">
      <protection hidden="1"/>
    </xf>
    <xf numFmtId="0" fontId="41" fillId="17" borderId="9" xfId="0" applyFont="1" applyFill="1" applyBorder="1" applyAlignment="1" applyProtection="1">
      <alignment horizontal="center" vertical="center"/>
      <protection hidden="1"/>
    </xf>
    <xf numFmtId="2" fontId="34" fillId="17" borderId="9" xfId="0" applyNumberFormat="1" applyFont="1" applyFill="1" applyBorder="1" applyAlignment="1" applyProtection="1">
      <alignment horizontal="center" wrapText="1"/>
      <protection hidden="1"/>
    </xf>
    <xf numFmtId="0" fontId="34" fillId="17" borderId="9" xfId="0" applyFont="1" applyFill="1" applyBorder="1" applyAlignment="1" applyProtection="1">
      <alignment horizontal="center" wrapText="1"/>
      <protection hidden="1"/>
    </xf>
    <xf numFmtId="49" fontId="44" fillId="18" borderId="12" xfId="0" applyNumberFormat="1" applyFont="1" applyFill="1" applyBorder="1" applyAlignment="1" applyProtection="1">
      <alignment horizontal="center"/>
      <protection hidden="1"/>
    </xf>
    <xf numFmtId="2" fontId="44" fillId="18" borderId="77" xfId="0" applyNumberFormat="1" applyFont="1" applyFill="1" applyBorder="1" applyAlignment="1" applyProtection="1">
      <alignment horizontal="center"/>
      <protection hidden="1"/>
    </xf>
    <xf numFmtId="49" fontId="44" fillId="18" borderId="8" xfId="0" applyNumberFormat="1" applyFont="1" applyFill="1" applyBorder="1" applyAlignment="1" applyProtection="1">
      <alignment horizontal="center"/>
      <protection hidden="1"/>
    </xf>
    <xf numFmtId="49" fontId="44" fillId="18" borderId="77" xfId="0" applyNumberFormat="1" applyFont="1" applyFill="1" applyBorder="1" applyAlignment="1" applyProtection="1">
      <alignment horizontal="center"/>
      <protection hidden="1"/>
    </xf>
    <xf numFmtId="0" fontId="0" fillId="7" borderId="8" xfId="0" applyFill="1" applyBorder="1" applyProtection="1">
      <protection hidden="1"/>
    </xf>
    <xf numFmtId="169" fontId="0" fillId="11" borderId="4" xfId="0" applyNumberFormat="1" applyFill="1" applyBorder="1" applyAlignment="1" applyProtection="1">
      <alignment horizontal="center"/>
      <protection hidden="1"/>
    </xf>
    <xf numFmtId="185" fontId="0" fillId="2" borderId="6" xfId="0" applyNumberFormat="1" applyFill="1" applyBorder="1" applyAlignment="1" applyProtection="1">
      <alignment horizontal="right" indent="1"/>
      <protection hidden="1"/>
    </xf>
    <xf numFmtId="0" fontId="34" fillId="7" borderId="9" xfId="0" applyFont="1" applyFill="1" applyBorder="1" applyProtection="1">
      <protection hidden="1"/>
    </xf>
    <xf numFmtId="169" fontId="34" fillId="11" borderId="9" xfId="0" applyNumberFormat="1" applyFont="1" applyFill="1" applyBorder="1" applyAlignment="1" applyProtection="1">
      <alignment horizontal="center"/>
      <protection hidden="1"/>
    </xf>
    <xf numFmtId="3" fontId="34" fillId="2" borderId="8" xfId="0" applyNumberFormat="1" applyFont="1" applyFill="1" applyBorder="1" applyAlignment="1" applyProtection="1">
      <alignment horizontal="right" indent="1"/>
      <protection hidden="1"/>
    </xf>
    <xf numFmtId="185" fontId="34" fillId="2" borderId="9" xfId="0" applyNumberFormat="1" applyFont="1" applyFill="1" applyBorder="1" applyAlignment="1" applyProtection="1">
      <alignment horizontal="right" indent="1"/>
      <protection hidden="1"/>
    </xf>
    <xf numFmtId="2" fontId="34" fillId="11" borderId="9" xfId="0" applyNumberFormat="1" applyFont="1" applyFill="1" applyBorder="1" applyAlignment="1" applyProtection="1">
      <alignment horizontal="center"/>
      <protection hidden="1"/>
    </xf>
    <xf numFmtId="2" fontId="0" fillId="11" borderId="4" xfId="0" applyNumberFormat="1" applyFill="1" applyBorder="1" applyAlignment="1" applyProtection="1">
      <alignment horizontal="center"/>
      <protection hidden="1"/>
    </xf>
    <xf numFmtId="0" fontId="0" fillId="7" borderId="8" xfId="0" applyFill="1" applyBorder="1" applyAlignment="1" applyProtection="1">
      <alignment horizontal="left"/>
      <protection hidden="1"/>
    </xf>
    <xf numFmtId="0" fontId="34" fillId="7" borderId="9" xfId="0" applyFont="1" applyFill="1" applyBorder="1" applyAlignment="1" applyProtection="1">
      <alignment horizontal="left"/>
      <protection hidden="1"/>
    </xf>
    <xf numFmtId="0" fontId="34" fillId="7" borderId="11" xfId="0" applyFont="1" applyFill="1" applyBorder="1" applyAlignment="1" applyProtection="1">
      <alignment horizontal="left"/>
      <protection hidden="1"/>
    </xf>
    <xf numFmtId="3" fontId="34" fillId="2" borderId="77" xfId="0" applyNumberFormat="1" applyFont="1" applyFill="1" applyBorder="1" applyAlignment="1" applyProtection="1">
      <alignment horizontal="right" indent="1"/>
      <protection hidden="1"/>
    </xf>
    <xf numFmtId="182" fontId="34" fillId="11" borderId="9" xfId="0" applyNumberFormat="1" applyFont="1" applyFill="1" applyBorder="1" applyAlignment="1" applyProtection="1">
      <alignment horizontal="center"/>
      <protection hidden="1"/>
    </xf>
    <xf numFmtId="3" fontId="34" fillId="2" borderId="63" xfId="0" applyNumberFormat="1" applyFont="1" applyFill="1" applyBorder="1" applyAlignment="1" applyProtection="1">
      <alignment horizontal="right" indent="1"/>
      <protection hidden="1"/>
    </xf>
    <xf numFmtId="0" fontId="0" fillId="7" borderId="4" xfId="0" applyFill="1" applyBorder="1" applyAlignment="1" applyProtection="1">
      <alignment horizontal="left"/>
      <protection hidden="1"/>
    </xf>
    <xf numFmtId="182" fontId="0" fillId="11" borderId="4" xfId="0" applyNumberFormat="1" applyFill="1" applyBorder="1" applyAlignment="1" applyProtection="1">
      <alignment horizontal="center"/>
      <protection hidden="1"/>
    </xf>
    <xf numFmtId="0" fontId="34" fillId="7" borderId="144" xfId="0" applyFont="1" applyFill="1" applyBorder="1" applyAlignment="1" applyProtection="1">
      <alignment horizontal="left"/>
      <protection hidden="1"/>
    </xf>
    <xf numFmtId="2" fontId="34" fillId="11" borderId="144" xfId="0" applyNumberFormat="1" applyFont="1" applyFill="1" applyBorder="1" applyAlignment="1" applyProtection="1">
      <alignment horizontal="center"/>
      <protection hidden="1"/>
    </xf>
    <xf numFmtId="3" fontId="34" fillId="2" borderId="120" xfId="0" applyNumberFormat="1" applyFont="1" applyFill="1" applyBorder="1" applyAlignment="1" applyProtection="1">
      <alignment horizontal="right" indent="1"/>
      <protection hidden="1"/>
    </xf>
    <xf numFmtId="185" fontId="34" fillId="2" borderId="144" xfId="0" applyNumberFormat="1" applyFont="1" applyFill="1" applyBorder="1" applyAlignment="1" applyProtection="1">
      <alignment horizontal="right" indent="1"/>
      <protection hidden="1"/>
    </xf>
    <xf numFmtId="0" fontId="34" fillId="7" borderId="77" xfId="0" applyFont="1" applyFill="1" applyBorder="1" applyAlignment="1" applyProtection="1">
      <alignment horizontal="left"/>
      <protection hidden="1"/>
    </xf>
    <xf numFmtId="2" fontId="34" fillId="11" borderId="77" xfId="0" applyNumberFormat="1" applyFont="1" applyFill="1" applyBorder="1" applyAlignment="1" applyProtection="1">
      <alignment horizontal="center"/>
      <protection hidden="1"/>
    </xf>
    <xf numFmtId="185" fontId="41" fillId="2" borderId="77" xfId="0" applyNumberFormat="1" applyFont="1" applyFill="1" applyBorder="1" applyAlignment="1" applyProtection="1">
      <alignment horizontal="right" indent="1"/>
      <protection hidden="1"/>
    </xf>
    <xf numFmtId="0" fontId="34" fillId="0" borderId="9" xfId="0" applyFont="1" applyBorder="1" applyAlignment="1" applyProtection="1">
      <alignment horizontal="left"/>
      <protection hidden="1"/>
    </xf>
    <xf numFmtId="4" fontId="34" fillId="2" borderId="8" xfId="0" applyNumberFormat="1" applyFont="1" applyFill="1" applyBorder="1" applyAlignment="1" applyProtection="1">
      <alignment horizontal="right" indent="1"/>
      <protection hidden="1"/>
    </xf>
    <xf numFmtId="2" fontId="34" fillId="11" borderId="9" xfId="0" applyNumberFormat="1" applyFont="1" applyFill="1" applyBorder="1" applyAlignment="1" applyProtection="1">
      <alignment horizontal="right" indent="1"/>
      <protection hidden="1"/>
    </xf>
    <xf numFmtId="4" fontId="43" fillId="2" borderId="9" xfId="0" applyNumberFormat="1" applyFont="1" applyFill="1" applyBorder="1" applyAlignment="1" applyProtection="1">
      <alignment horizontal="right" indent="1"/>
      <protection hidden="1"/>
    </xf>
    <xf numFmtId="0" fontId="58" fillId="0" borderId="0" xfId="0" applyFont="1" applyProtection="1">
      <protection hidden="1"/>
    </xf>
    <xf numFmtId="0" fontId="59" fillId="0" borderId="0" xfId="0" applyFont="1" applyAlignment="1" applyProtection="1">
      <alignment horizontal="left" vertical="center"/>
      <protection hidden="1"/>
    </xf>
    <xf numFmtId="0" fontId="43" fillId="0" borderId="0" xfId="0" applyFont="1" applyAlignment="1" applyProtection="1">
      <alignment horizontal="left" vertical="center"/>
      <protection hidden="1"/>
    </xf>
    <xf numFmtId="0" fontId="60" fillId="0" borderId="0" xfId="1" applyFont="1" applyAlignment="1" applyProtection="1">
      <alignment vertical="center"/>
      <protection hidden="1"/>
    </xf>
    <xf numFmtId="0" fontId="4" fillId="0" borderId="0" xfId="0" applyFont="1" applyAlignment="1" applyProtection="1">
      <alignment vertical="center"/>
      <protection hidden="1"/>
    </xf>
    <xf numFmtId="0" fontId="49"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52" fillId="0" borderId="0" xfId="0" applyFont="1"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0" xfId="0" applyAlignment="1">
      <alignment horizontal="left" vertical="center" wrapText="1"/>
    </xf>
    <xf numFmtId="0" fontId="61" fillId="0" borderId="0" xfId="0" applyFont="1" applyAlignment="1" applyProtection="1">
      <alignment horizontal="left" vertical="center"/>
      <protection hidden="1"/>
    </xf>
    <xf numFmtId="0" fontId="4" fillId="0" borderId="0" xfId="0" applyFont="1" applyAlignment="1" applyProtection="1">
      <alignment horizontal="center" vertical="center" wrapText="1"/>
      <protection hidden="1"/>
    </xf>
    <xf numFmtId="0" fontId="62" fillId="0" borderId="0" xfId="0" applyFont="1" applyAlignment="1" applyProtection="1">
      <alignment horizontal="left" vertical="center"/>
      <protection hidden="1"/>
    </xf>
    <xf numFmtId="0" fontId="43" fillId="13" borderId="0" xfId="0" applyFont="1" applyFill="1" applyProtection="1">
      <protection hidden="1"/>
    </xf>
    <xf numFmtId="0" fontId="33" fillId="0" borderId="0" xfId="0" applyFont="1" applyAlignment="1" applyProtection="1">
      <alignment horizontal="left" vertical="center"/>
      <protection hidden="1"/>
    </xf>
    <xf numFmtId="2" fontId="39" fillId="12" borderId="145" xfId="0" applyNumberFormat="1" applyFont="1" applyFill="1" applyBorder="1" applyAlignment="1" applyProtection="1">
      <alignment horizontal="center"/>
      <protection locked="0"/>
    </xf>
    <xf numFmtId="2" fontId="39" fillId="12" borderId="146" xfId="0" applyNumberFormat="1" applyFont="1" applyFill="1" applyBorder="1" applyAlignment="1" applyProtection="1">
      <alignment horizontal="center"/>
      <protection locked="0"/>
    </xf>
    <xf numFmtId="0" fontId="34" fillId="12" borderId="69" xfId="0" applyFont="1" applyFill="1" applyBorder="1" applyAlignment="1" applyProtection="1">
      <alignment horizontal="right" vertical="center"/>
      <protection locked="0"/>
    </xf>
    <xf numFmtId="0" fontId="34" fillId="12" borderId="70" xfId="0" applyFont="1" applyFill="1" applyBorder="1" applyAlignment="1" applyProtection="1">
      <alignment horizontal="right" vertical="center"/>
      <protection locked="0"/>
    </xf>
    <xf numFmtId="0" fontId="34" fillId="12" borderId="71" xfId="0" applyFont="1" applyFill="1" applyBorder="1" applyAlignment="1" applyProtection="1">
      <alignment horizontal="right" vertical="center"/>
      <protection locked="0"/>
    </xf>
    <xf numFmtId="3" fontId="0" fillId="12" borderId="140" xfId="0" applyNumberFormat="1" applyFill="1" applyBorder="1" applyAlignment="1" applyProtection="1">
      <alignment horizontal="right" indent="1"/>
      <protection locked="0"/>
    </xf>
    <xf numFmtId="3" fontId="0" fillId="12" borderId="141" xfId="0" applyNumberFormat="1" applyFill="1" applyBorder="1" applyAlignment="1" applyProtection="1">
      <alignment horizontal="right" indent="1"/>
      <protection locked="0"/>
    </xf>
    <xf numFmtId="3" fontId="0" fillId="12" borderId="142" xfId="0" applyNumberFormat="1" applyFill="1" applyBorder="1" applyAlignment="1" applyProtection="1">
      <alignment horizontal="right" indent="1"/>
      <protection locked="0"/>
    </xf>
    <xf numFmtId="3" fontId="0" fillId="12" borderId="143" xfId="0" applyNumberFormat="1" applyFill="1" applyBorder="1" applyAlignment="1" applyProtection="1">
      <alignment horizontal="right" indent="1"/>
      <protection locked="0"/>
    </xf>
    <xf numFmtId="0" fontId="7" fillId="7" borderId="5" xfId="0" applyFont="1" applyFill="1" applyBorder="1" applyAlignment="1">
      <alignment horizontal="center" vertical="center"/>
    </xf>
    <xf numFmtId="0" fontId="9" fillId="7" borderId="7" xfId="0" applyFont="1" applyFill="1" applyBorder="1" applyAlignment="1">
      <alignment horizontal="right" vertical="center"/>
    </xf>
    <xf numFmtId="0" fontId="10" fillId="7" borderId="8" xfId="0" applyFont="1" applyFill="1" applyBorder="1" applyAlignment="1">
      <alignment horizontal="center"/>
    </xf>
    <xf numFmtId="0" fontId="11" fillId="7" borderId="8" xfId="0" applyFont="1" applyFill="1" applyBorder="1" applyAlignment="1">
      <alignment horizontal="center"/>
    </xf>
    <xf numFmtId="0" fontId="13" fillId="7" borderId="8" xfId="0" applyFont="1" applyFill="1" applyBorder="1" applyAlignment="1">
      <alignment horizontal="center"/>
    </xf>
    <xf numFmtId="0" fontId="14" fillId="7" borderId="0" xfId="0" applyFont="1" applyFill="1" applyAlignment="1" applyProtection="1">
      <alignment wrapText="1"/>
      <protection hidden="1"/>
    </xf>
    <xf numFmtId="49" fontId="10" fillId="12" borderId="5" xfId="0" applyNumberFormat="1" applyFont="1" applyFill="1" applyBorder="1" applyAlignment="1" applyProtection="1">
      <alignment horizontal="center" vertical="center"/>
      <protection locked="0"/>
    </xf>
    <xf numFmtId="164" fontId="10" fillId="12" borderId="5" xfId="0" applyNumberFormat="1" applyFont="1" applyFill="1" applyBorder="1" applyAlignment="1" applyProtection="1">
      <alignment horizontal="center" vertical="center"/>
      <protection locked="0"/>
    </xf>
    <xf numFmtId="0" fontId="18" fillId="7" borderId="10" xfId="0" applyFont="1" applyFill="1" applyBorder="1" applyAlignment="1">
      <alignment horizontal="center" vertical="center"/>
    </xf>
    <xf numFmtId="0" fontId="10" fillId="12" borderId="5" xfId="0" applyFont="1" applyFill="1" applyBorder="1" applyAlignment="1" applyProtection="1">
      <alignment horizontal="center" vertical="center"/>
      <protection locked="0"/>
    </xf>
    <xf numFmtId="0" fontId="11" fillId="7" borderId="9" xfId="0" applyFont="1" applyFill="1" applyBorder="1" applyAlignment="1">
      <alignment horizontal="center" vertical="center"/>
    </xf>
    <xf numFmtId="0" fontId="19" fillId="7" borderId="0" xfId="0" applyFont="1" applyFill="1" applyAlignment="1">
      <alignment horizontal="center"/>
    </xf>
    <xf numFmtId="0" fontId="28" fillId="5" borderId="1" xfId="0" applyFont="1" applyFill="1" applyBorder="1" applyAlignment="1" applyProtection="1">
      <alignment horizontal="left" vertical="center"/>
      <protection hidden="1"/>
    </xf>
    <xf numFmtId="0" fontId="29" fillId="5" borderId="15" xfId="0" applyFont="1" applyFill="1" applyBorder="1" applyAlignment="1" applyProtection="1">
      <alignment horizontal="center" vertical="center"/>
      <protection hidden="1"/>
    </xf>
    <xf numFmtId="166" fontId="0" fillId="5" borderId="6" xfId="0" applyNumberFormat="1" applyFill="1" applyBorder="1" applyAlignment="1" applyProtection="1">
      <alignment horizontal="left" vertical="center"/>
      <protection hidden="1"/>
    </xf>
    <xf numFmtId="0" fontId="31" fillId="5" borderId="4" xfId="0" applyFont="1" applyFill="1" applyBorder="1" applyAlignment="1" applyProtection="1">
      <alignment horizontal="left" vertical="center"/>
      <protection hidden="1"/>
    </xf>
    <xf numFmtId="0" fontId="32" fillId="5" borderId="6" xfId="0" applyFont="1" applyFill="1" applyBorder="1" applyAlignment="1" applyProtection="1">
      <alignment horizontal="center" vertical="center"/>
      <protection hidden="1"/>
    </xf>
    <xf numFmtId="0" fontId="33" fillId="2" borderId="9" xfId="0" applyFont="1" applyFill="1" applyBorder="1" applyAlignment="1" applyProtection="1">
      <alignment horizontal="center" vertical="center"/>
      <protection hidden="1"/>
    </xf>
    <xf numFmtId="0" fontId="19" fillId="14" borderId="17" xfId="0" applyFont="1" applyFill="1" applyBorder="1" applyAlignment="1" applyProtection="1">
      <alignment horizontal="center"/>
      <protection hidden="1"/>
    </xf>
    <xf numFmtId="0" fontId="19" fillId="14" borderId="18" xfId="0" applyFont="1" applyFill="1" applyBorder="1" applyAlignment="1" applyProtection="1">
      <alignment horizontal="center"/>
      <protection hidden="1"/>
    </xf>
    <xf numFmtId="0" fontId="19" fillId="14" borderId="20" xfId="0" applyFont="1" applyFill="1" applyBorder="1" applyAlignment="1" applyProtection="1">
      <alignment horizontal="center"/>
      <protection hidden="1"/>
    </xf>
    <xf numFmtId="0" fontId="36" fillId="14" borderId="21" xfId="0" applyFont="1" applyFill="1" applyBorder="1" applyAlignment="1" applyProtection="1">
      <alignment horizontal="center" vertical="center"/>
      <protection hidden="1"/>
    </xf>
    <xf numFmtId="0" fontId="19" fillId="14" borderId="21" xfId="0" applyFont="1" applyFill="1" applyBorder="1" applyAlignment="1" applyProtection="1">
      <alignment horizontal="center" vertical="center"/>
      <protection hidden="1"/>
    </xf>
    <xf numFmtId="0" fontId="0" fillId="13" borderId="0" xfId="0" applyFill="1" applyAlignment="1" applyProtection="1">
      <alignment horizontal="center"/>
      <protection hidden="1"/>
    </xf>
    <xf numFmtId="0" fontId="4" fillId="12" borderId="26" xfId="0" applyFont="1" applyFill="1" applyBorder="1" applyAlignment="1" applyProtection="1">
      <alignment horizontal="left" vertical="center"/>
      <protection locked="0"/>
    </xf>
    <xf numFmtId="167" fontId="19" fillId="12" borderId="28" xfId="0" applyNumberFormat="1" applyFont="1" applyFill="1" applyBorder="1" applyAlignment="1" applyProtection="1">
      <alignment horizontal="right" vertical="center"/>
      <protection locked="0"/>
    </xf>
    <xf numFmtId="0" fontId="4" fillId="12" borderId="4" xfId="0" applyFont="1" applyFill="1" applyBorder="1" applyAlignment="1" applyProtection="1">
      <alignment horizontal="left" vertical="center"/>
      <protection locked="0"/>
    </xf>
    <xf numFmtId="167" fontId="19" fillId="12" borderId="33" xfId="0" applyNumberFormat="1" applyFont="1" applyFill="1" applyBorder="1" applyAlignment="1" applyProtection="1">
      <alignment horizontal="right" vertical="center"/>
      <protection locked="0"/>
    </xf>
    <xf numFmtId="0" fontId="4" fillId="12" borderId="34" xfId="0" applyFont="1" applyFill="1" applyBorder="1" applyAlignment="1" applyProtection="1">
      <alignment horizontal="left" vertical="center"/>
      <protection locked="0"/>
    </xf>
    <xf numFmtId="167" fontId="19" fillId="12" borderId="36" xfId="0" applyNumberFormat="1" applyFont="1" applyFill="1" applyBorder="1" applyAlignment="1" applyProtection="1">
      <alignment horizontal="right" vertical="center"/>
      <protection locked="0"/>
    </xf>
    <xf numFmtId="0" fontId="4" fillId="12" borderId="12" xfId="0" applyFont="1" applyFill="1" applyBorder="1" applyAlignment="1" applyProtection="1">
      <alignment horizontal="left" vertical="center"/>
      <protection locked="0"/>
    </xf>
    <xf numFmtId="167" fontId="19" fillId="12" borderId="41" xfId="0" applyNumberFormat="1" applyFont="1" applyFill="1" applyBorder="1" applyAlignment="1" applyProtection="1">
      <alignment horizontal="right" vertical="center"/>
      <protection locked="0"/>
    </xf>
    <xf numFmtId="167" fontId="38" fillId="5" borderId="42" xfId="0" applyNumberFormat="1" applyFont="1" applyFill="1" applyBorder="1" applyAlignment="1" applyProtection="1">
      <alignment horizontal="right"/>
      <protection hidden="1"/>
    </xf>
    <xf numFmtId="168" fontId="38" fillId="12" borderId="0" xfId="0" applyNumberFormat="1" applyFont="1" applyFill="1" applyAlignment="1" applyProtection="1">
      <alignment horizontal="left" vertical="center"/>
      <protection hidden="1"/>
    </xf>
    <xf numFmtId="1" fontId="34" fillId="12" borderId="4" xfId="0" applyNumberFormat="1" applyFont="1" applyFill="1" applyBorder="1" applyAlignment="1" applyProtection="1">
      <alignment horizontal="center" wrapText="1"/>
      <protection hidden="1"/>
    </xf>
    <xf numFmtId="0" fontId="19" fillId="14" borderId="43" xfId="0" applyFont="1" applyFill="1" applyBorder="1" applyAlignment="1" applyProtection="1">
      <alignment horizontal="center"/>
      <protection hidden="1"/>
    </xf>
    <xf numFmtId="0" fontId="19" fillId="14" borderId="1" xfId="0" applyFont="1" applyFill="1" applyBorder="1" applyAlignment="1" applyProtection="1">
      <alignment horizontal="center"/>
      <protection hidden="1"/>
    </xf>
    <xf numFmtId="0" fontId="19" fillId="14" borderId="21" xfId="0" applyFont="1" applyFill="1" applyBorder="1" applyAlignment="1" applyProtection="1">
      <alignment horizontal="center"/>
      <protection hidden="1"/>
    </xf>
    <xf numFmtId="0" fontId="19" fillId="14" borderId="12" xfId="0" applyFont="1" applyFill="1" applyBorder="1" applyAlignment="1" applyProtection="1">
      <alignment horizontal="center" vertical="center"/>
      <protection hidden="1"/>
    </xf>
    <xf numFmtId="0" fontId="0" fillId="12" borderId="26" xfId="0" applyFill="1" applyBorder="1" applyAlignment="1" applyProtection="1">
      <alignment horizontal="left" vertical="center"/>
      <protection locked="0"/>
    </xf>
    <xf numFmtId="167" fontId="19" fillId="12" borderId="44" xfId="0" applyNumberFormat="1" applyFont="1" applyFill="1" applyBorder="1" applyAlignment="1" applyProtection="1">
      <alignment horizontal="right" vertical="center"/>
      <protection locked="0"/>
    </xf>
    <xf numFmtId="0" fontId="0" fillId="12" borderId="4" xfId="0" applyFill="1" applyBorder="1" applyAlignment="1" applyProtection="1">
      <alignment horizontal="left" vertical="center"/>
      <protection locked="0"/>
    </xf>
    <xf numFmtId="0" fontId="0" fillId="12" borderId="34" xfId="0" applyFill="1" applyBorder="1" applyAlignment="1" applyProtection="1">
      <alignment horizontal="left" vertical="center"/>
      <protection locked="0"/>
    </xf>
    <xf numFmtId="167" fontId="19" fillId="12" borderId="49" xfId="0" applyNumberFormat="1" applyFont="1" applyFill="1" applyBorder="1" applyAlignment="1" applyProtection="1">
      <alignment horizontal="right" vertical="center"/>
      <protection locked="0"/>
    </xf>
    <xf numFmtId="0" fontId="0" fillId="12" borderId="12" xfId="0" applyFill="1" applyBorder="1" applyAlignment="1" applyProtection="1">
      <alignment horizontal="left" vertical="center"/>
      <protection locked="0"/>
    </xf>
    <xf numFmtId="167" fontId="19" fillId="12" borderId="54" xfId="0" applyNumberFormat="1" applyFont="1" applyFill="1" applyBorder="1" applyAlignment="1" applyProtection="1">
      <alignment horizontal="right" vertical="center"/>
      <protection locked="0"/>
    </xf>
    <xf numFmtId="167" fontId="38" fillId="5" borderId="27" xfId="0" applyNumberFormat="1" applyFont="1" applyFill="1" applyBorder="1" applyAlignment="1" applyProtection="1">
      <alignment horizontal="right" vertical="center"/>
      <protection hidden="1"/>
    </xf>
    <xf numFmtId="1" fontId="34" fillId="12" borderId="12" xfId="0" applyNumberFormat="1" applyFont="1" applyFill="1" applyBorder="1" applyAlignment="1" applyProtection="1">
      <alignment horizontal="center" wrapText="1"/>
      <protection hidden="1"/>
    </xf>
    <xf numFmtId="167" fontId="41" fillId="5" borderId="2" xfId="0" applyNumberFormat="1" applyFont="1" applyFill="1" applyBorder="1" applyAlignment="1" applyProtection="1">
      <alignment horizontal="right" vertical="center"/>
      <protection hidden="1"/>
    </xf>
    <xf numFmtId="167" fontId="38" fillId="5" borderId="2" xfId="0" applyNumberFormat="1" applyFont="1" applyFill="1" applyBorder="1" applyAlignment="1" applyProtection="1">
      <alignment horizontal="right" vertical="center"/>
      <protection hidden="1"/>
    </xf>
    <xf numFmtId="0" fontId="33" fillId="5" borderId="8" xfId="0" applyFont="1" applyFill="1" applyBorder="1" applyAlignment="1" applyProtection="1">
      <alignment horizontal="center" vertical="center"/>
      <protection hidden="1"/>
    </xf>
    <xf numFmtId="0" fontId="19" fillId="5" borderId="29" xfId="0" applyFont="1" applyFill="1" applyBorder="1" applyAlignment="1" applyProtection="1">
      <alignment horizontal="center"/>
      <protection hidden="1"/>
    </xf>
    <xf numFmtId="0" fontId="19" fillId="5" borderId="18" xfId="0" applyFont="1" applyFill="1" applyBorder="1" applyAlignment="1" applyProtection="1">
      <alignment horizontal="center"/>
      <protection hidden="1"/>
    </xf>
    <xf numFmtId="0" fontId="19" fillId="5" borderId="31" xfId="0" applyFont="1" applyFill="1" applyBorder="1" applyAlignment="1" applyProtection="1">
      <alignment horizontal="center"/>
      <protection hidden="1"/>
    </xf>
    <xf numFmtId="0" fontId="19" fillId="5" borderId="47" xfId="0" applyFont="1" applyFill="1" applyBorder="1" applyAlignment="1" applyProtection="1">
      <alignment horizontal="center" vertical="center"/>
      <protection hidden="1"/>
    </xf>
    <xf numFmtId="167" fontId="19" fillId="5" borderId="33" xfId="0" applyNumberFormat="1" applyFont="1" applyFill="1" applyBorder="1" applyAlignment="1" applyProtection="1">
      <alignment horizontal="right" vertical="center"/>
      <protection hidden="1"/>
    </xf>
    <xf numFmtId="170" fontId="38" fillId="5" borderId="2" xfId="0" applyNumberFormat="1" applyFont="1" applyFill="1" applyBorder="1" applyAlignment="1" applyProtection="1">
      <alignment horizontal="right" vertical="center"/>
      <protection hidden="1"/>
    </xf>
    <xf numFmtId="0" fontId="34" fillId="14" borderId="64" xfId="0" applyFont="1" applyFill="1" applyBorder="1" applyAlignment="1" applyProtection="1">
      <alignment horizontal="center"/>
      <protection hidden="1"/>
    </xf>
    <xf numFmtId="0" fontId="34" fillId="14" borderId="23" xfId="0" applyFont="1" applyFill="1" applyBorder="1" applyAlignment="1" applyProtection="1">
      <alignment horizontal="center"/>
      <protection hidden="1"/>
    </xf>
    <xf numFmtId="49" fontId="0" fillId="12" borderId="27" xfId="0" applyNumberFormat="1" applyFill="1" applyBorder="1" applyAlignment="1" applyProtection="1">
      <alignment horizontal="left" vertical="center"/>
      <protection locked="0"/>
    </xf>
    <xf numFmtId="49" fontId="0" fillId="12" borderId="32" xfId="0" applyNumberFormat="1" applyFill="1" applyBorder="1" applyAlignment="1" applyProtection="1">
      <alignment horizontal="left" vertical="center"/>
      <protection locked="0"/>
    </xf>
    <xf numFmtId="49" fontId="0" fillId="12" borderId="35" xfId="0" applyNumberFormat="1" applyFill="1" applyBorder="1" applyAlignment="1" applyProtection="1">
      <alignment horizontal="left" vertical="center"/>
      <protection locked="0"/>
    </xf>
    <xf numFmtId="49" fontId="0" fillId="12" borderId="40" xfId="0" applyNumberFormat="1" applyFill="1" applyBorder="1" applyAlignment="1" applyProtection="1">
      <alignment horizontal="left" vertical="center"/>
      <protection locked="0"/>
    </xf>
    <xf numFmtId="0" fontId="0" fillId="0" borderId="4" xfId="0" applyBorder="1" applyAlignment="1" applyProtection="1">
      <alignment horizontal="left" vertical="center"/>
      <protection hidden="1"/>
    </xf>
    <xf numFmtId="167" fontId="19" fillId="0" borderId="33" xfId="0" applyNumberFormat="1" applyFont="1" applyBorder="1" applyAlignment="1" applyProtection="1">
      <alignment horizontal="right" vertical="center"/>
      <protection hidden="1"/>
    </xf>
    <xf numFmtId="0" fontId="0" fillId="0" borderId="12" xfId="0" applyBorder="1" applyAlignment="1" applyProtection="1">
      <alignment horizontal="left" vertical="center"/>
      <protection hidden="1"/>
    </xf>
    <xf numFmtId="167" fontId="19" fillId="0" borderId="41" xfId="0" applyNumberFormat="1" applyFont="1" applyBorder="1" applyAlignment="1" applyProtection="1">
      <alignment horizontal="right" vertical="center"/>
      <protection hidden="1"/>
    </xf>
    <xf numFmtId="0" fontId="4" fillId="12" borderId="65" xfId="0" applyFont="1" applyFill="1" applyBorder="1" applyAlignment="1" applyProtection="1">
      <alignment horizontal="left" vertical="center"/>
      <protection locked="0"/>
    </xf>
    <xf numFmtId="0" fontId="4" fillId="12" borderId="66" xfId="0" applyFont="1" applyFill="1" applyBorder="1" applyAlignment="1" applyProtection="1">
      <alignment horizontal="left" vertical="center"/>
      <protection locked="0"/>
    </xf>
    <xf numFmtId="0" fontId="0" fillId="12" borderId="68" xfId="0" applyFill="1" applyBorder="1" applyAlignment="1" applyProtection="1">
      <alignment horizontal="left" vertical="center"/>
      <protection locked="0"/>
    </xf>
    <xf numFmtId="167" fontId="19" fillId="2" borderId="33" xfId="0" applyNumberFormat="1" applyFont="1" applyFill="1" applyBorder="1" applyAlignment="1" applyProtection="1">
      <alignment horizontal="right" vertical="center"/>
      <protection hidden="1"/>
    </xf>
    <xf numFmtId="167" fontId="19" fillId="2" borderId="41" xfId="0" applyNumberFormat="1" applyFont="1" applyFill="1" applyBorder="1" applyAlignment="1" applyProtection="1">
      <alignment horizontal="right" vertical="center"/>
      <protection hidden="1"/>
    </xf>
    <xf numFmtId="0" fontId="33" fillId="5" borderId="81" xfId="0" applyFont="1" applyFill="1" applyBorder="1" applyAlignment="1" applyProtection="1">
      <alignment horizontal="right" vertical="center"/>
      <protection hidden="1"/>
    </xf>
    <xf numFmtId="0" fontId="45" fillId="5" borderId="0" xfId="0" applyFont="1" applyFill="1" applyAlignment="1" applyProtection="1">
      <alignment horizontal="left" vertical="top"/>
      <protection hidden="1"/>
    </xf>
    <xf numFmtId="0" fontId="33" fillId="5" borderId="19" xfId="0" applyFont="1" applyFill="1" applyBorder="1" applyAlignment="1" applyProtection="1">
      <alignment horizontal="right" vertical="center"/>
      <protection hidden="1"/>
    </xf>
    <xf numFmtId="0" fontId="43" fillId="5" borderId="12" xfId="0" applyFont="1" applyFill="1" applyBorder="1" applyAlignment="1" applyProtection="1">
      <alignment horizontal="center"/>
      <protection hidden="1"/>
    </xf>
    <xf numFmtId="0" fontId="19" fillId="5" borderId="43" xfId="0" applyFont="1" applyFill="1" applyBorder="1" applyAlignment="1" applyProtection="1">
      <alignment horizontal="center"/>
      <protection hidden="1"/>
    </xf>
    <xf numFmtId="0" fontId="19" fillId="5" borderId="73" xfId="0" applyFont="1" applyFill="1" applyBorder="1" applyAlignment="1" applyProtection="1">
      <alignment horizontal="center"/>
      <protection hidden="1"/>
    </xf>
    <xf numFmtId="0" fontId="19" fillId="5" borderId="23" xfId="0" applyFont="1" applyFill="1" applyBorder="1" applyAlignment="1" applyProtection="1">
      <alignment horizontal="center" vertical="center"/>
      <protection hidden="1"/>
    </xf>
    <xf numFmtId="0" fontId="19" fillId="5" borderId="75" xfId="0" applyFont="1" applyFill="1" applyBorder="1" applyAlignment="1" applyProtection="1">
      <alignment horizontal="center" vertical="center" wrapText="1"/>
      <protection hidden="1"/>
    </xf>
    <xf numFmtId="0" fontId="34" fillId="5" borderId="76" xfId="0" applyFont="1" applyFill="1" applyBorder="1" applyAlignment="1" applyProtection="1">
      <alignment horizontal="center"/>
      <protection hidden="1"/>
    </xf>
    <xf numFmtId="0" fontId="34" fillId="5" borderId="20" xfId="0" applyFont="1" applyFill="1" applyBorder="1" applyAlignment="1" applyProtection="1">
      <alignment horizontal="center"/>
      <protection hidden="1"/>
    </xf>
    <xf numFmtId="3" fontId="43" fillId="14" borderId="78" xfId="0" applyNumberFormat="1" applyFont="1" applyFill="1" applyBorder="1" applyAlignment="1" applyProtection="1">
      <alignment horizontal="center" vertical="center"/>
      <protection hidden="1"/>
    </xf>
    <xf numFmtId="0" fontId="11" fillId="2" borderId="0" xfId="2" applyFont="1" applyFill="1" applyAlignment="1" applyProtection="1">
      <alignment horizontal="left" vertical="center"/>
      <protection hidden="1"/>
    </xf>
    <xf numFmtId="0" fontId="43" fillId="6" borderId="77" xfId="2" applyFont="1" applyFill="1" applyBorder="1" applyAlignment="1" applyProtection="1">
      <alignment horizontal="center" vertical="center" wrapText="1"/>
      <protection hidden="1"/>
    </xf>
    <xf numFmtId="0" fontId="43" fillId="15" borderId="9" xfId="2" applyFont="1" applyFill="1" applyBorder="1" applyAlignment="1" applyProtection="1">
      <alignment horizontal="center" vertical="center" wrapText="1"/>
      <protection hidden="1"/>
    </xf>
    <xf numFmtId="0" fontId="43" fillId="8" borderId="1" xfId="2" applyFont="1" applyFill="1" applyBorder="1" applyAlignment="1" applyProtection="1">
      <alignment horizontal="center" vertical="center" wrapText="1"/>
      <protection hidden="1"/>
    </xf>
    <xf numFmtId="0" fontId="43" fillId="10" borderId="11" xfId="2" applyFont="1" applyFill="1" applyBorder="1" applyAlignment="1" applyProtection="1">
      <alignment horizontal="center" vertical="center" wrapText="1"/>
      <protection hidden="1"/>
    </xf>
    <xf numFmtId="0" fontId="43" fillId="10" borderId="9" xfId="2" applyFont="1" applyFill="1" applyBorder="1" applyAlignment="1" applyProtection="1">
      <alignment vertical="center" wrapText="1"/>
      <protection hidden="1"/>
    </xf>
    <xf numFmtId="0" fontId="47" fillId="6" borderId="1" xfId="0" applyFont="1" applyFill="1" applyBorder="1" applyAlignment="1" applyProtection="1">
      <alignment horizontal="center" wrapText="1"/>
      <protection hidden="1"/>
    </xf>
    <xf numFmtId="0" fontId="34" fillId="6" borderId="3" xfId="2" applyFont="1" applyFill="1" applyBorder="1" applyAlignment="1" applyProtection="1">
      <alignment horizontal="center"/>
      <protection hidden="1"/>
    </xf>
    <xf numFmtId="0" fontId="34" fillId="6" borderId="3" xfId="2" applyFont="1" applyFill="1" applyBorder="1" applyAlignment="1" applyProtection="1">
      <alignment horizontal="center" wrapText="1"/>
      <protection hidden="1"/>
    </xf>
    <xf numFmtId="0" fontId="47" fillId="3" borderId="77" xfId="0" applyFont="1" applyFill="1" applyBorder="1" applyAlignment="1" applyProtection="1">
      <alignment horizontal="center" wrapText="1"/>
      <protection hidden="1"/>
    </xf>
    <xf numFmtId="0" fontId="47" fillId="8" borderId="12" xfId="2" applyFont="1" applyFill="1" applyBorder="1" applyAlignment="1" applyProtection="1">
      <alignment horizontal="center" vertical="center" wrapText="1"/>
      <protection hidden="1"/>
    </xf>
    <xf numFmtId="0" fontId="41" fillId="15" borderId="8" xfId="2" applyFont="1" applyFill="1" applyBorder="1" applyAlignment="1" applyProtection="1">
      <alignment horizontal="center" wrapText="1"/>
      <protection hidden="1"/>
    </xf>
    <xf numFmtId="0" fontId="34" fillId="10" borderId="72" xfId="2" applyFont="1" applyFill="1" applyBorder="1" applyAlignment="1" applyProtection="1">
      <alignment horizontal="center" wrapText="1"/>
      <protection hidden="1"/>
    </xf>
    <xf numFmtId="0" fontId="34" fillId="10" borderId="3" xfId="2" applyFont="1" applyFill="1" applyBorder="1" applyAlignment="1" applyProtection="1">
      <alignment horizontal="center" wrapText="1"/>
      <protection hidden="1"/>
    </xf>
    <xf numFmtId="2" fontId="34" fillId="10" borderId="63" xfId="2" applyNumberFormat="1" applyFont="1" applyFill="1" applyBorder="1" applyAlignment="1" applyProtection="1">
      <alignment horizontal="center" wrapText="1"/>
      <protection hidden="1"/>
    </xf>
    <xf numFmtId="0" fontId="41" fillId="10" borderId="72" xfId="2" applyFont="1" applyFill="1" applyBorder="1" applyAlignment="1" applyProtection="1">
      <alignment horizontal="center" wrapText="1"/>
      <protection hidden="1"/>
    </xf>
    <xf numFmtId="2" fontId="41" fillId="10" borderId="3" xfId="2" applyNumberFormat="1" applyFont="1" applyFill="1" applyBorder="1" applyAlignment="1" applyProtection="1">
      <alignment horizontal="center" wrapText="1"/>
      <protection hidden="1"/>
    </xf>
    <xf numFmtId="0" fontId="38" fillId="9" borderId="72" xfId="2" applyFont="1" applyFill="1" applyBorder="1" applyAlignment="1" applyProtection="1">
      <alignment horizontal="center" wrapText="1"/>
      <protection hidden="1"/>
    </xf>
    <xf numFmtId="2" fontId="38" fillId="9" borderId="3" xfId="2" applyNumberFormat="1" applyFont="1" applyFill="1" applyBorder="1" applyAlignment="1" applyProtection="1">
      <alignment horizontal="center" wrapText="1"/>
      <protection hidden="1"/>
    </xf>
    <xf numFmtId="0" fontId="48" fillId="4" borderId="1" xfId="0" applyFont="1" applyFill="1" applyBorder="1" applyAlignment="1" applyProtection="1">
      <alignment horizontal="center" wrapText="1"/>
      <protection hidden="1"/>
    </xf>
    <xf numFmtId="0" fontId="41" fillId="4" borderId="3" xfId="0" applyFont="1" applyFill="1" applyBorder="1" applyAlignment="1" applyProtection="1">
      <alignment horizontal="center"/>
      <protection hidden="1"/>
    </xf>
    <xf numFmtId="0" fontId="41" fillId="8" borderId="63" xfId="0" applyFont="1" applyFill="1" applyBorder="1" applyAlignment="1" applyProtection="1">
      <alignment horizontal="center"/>
      <protection hidden="1"/>
    </xf>
    <xf numFmtId="0" fontId="41" fillId="15" borderId="8" xfId="2" applyFont="1" applyFill="1" applyBorder="1" applyAlignment="1" applyProtection="1">
      <alignment horizontal="center"/>
      <protection hidden="1"/>
    </xf>
    <xf numFmtId="0" fontId="41" fillId="4" borderId="8" xfId="0" applyFont="1" applyFill="1" applyBorder="1" applyAlignment="1" applyProtection="1">
      <alignment horizontal="center"/>
      <protection hidden="1"/>
    </xf>
    <xf numFmtId="0" fontId="1" fillId="2" borderId="6" xfId="2" applyFont="1" applyFill="1" applyBorder="1" applyAlignment="1" applyProtection="1">
      <alignment wrapText="1"/>
      <protection hidden="1"/>
    </xf>
    <xf numFmtId="0" fontId="37" fillId="12" borderId="97" xfId="2" applyFont="1" applyFill="1" applyBorder="1" applyAlignment="1" applyProtection="1">
      <alignment horizontal="left" vertical="center"/>
      <protection locked="0"/>
    </xf>
    <xf numFmtId="0" fontId="49" fillId="2" borderId="0" xfId="2" applyFont="1" applyFill="1" applyAlignment="1" applyProtection="1">
      <alignment horizontal="left" vertical="center"/>
      <protection locked="0"/>
    </xf>
    <xf numFmtId="0" fontId="38" fillId="2" borderId="0" xfId="0" applyFont="1" applyFill="1" applyAlignment="1" applyProtection="1">
      <alignment horizontal="center" wrapText="1"/>
      <protection locked="0"/>
    </xf>
    <xf numFmtId="0" fontId="41" fillId="16" borderId="97" xfId="2" applyFont="1" applyFill="1" applyBorder="1" applyAlignment="1" applyProtection="1">
      <alignment horizontal="center" vertical="center" wrapText="1"/>
      <protection locked="0"/>
    </xf>
    <xf numFmtId="0" fontId="38" fillId="2" borderId="0" xfId="0" applyFont="1" applyFill="1" applyAlignment="1" applyProtection="1">
      <alignment horizontal="center" wrapText="1"/>
      <protection hidden="1"/>
    </xf>
    <xf numFmtId="0" fontId="11" fillId="12" borderId="13" xfId="0" applyFont="1" applyFill="1" applyBorder="1" applyAlignment="1" applyProtection="1">
      <alignment horizontal="center" vertical="center" wrapText="1"/>
      <protection hidden="1"/>
    </xf>
    <xf numFmtId="0" fontId="19" fillId="12" borderId="9" xfId="0" applyFont="1" applyFill="1" applyBorder="1" applyAlignment="1" applyProtection="1">
      <alignment horizontal="left" vertical="center"/>
      <protection hidden="1"/>
    </xf>
    <xf numFmtId="0" fontId="31" fillId="12" borderId="0" xfId="0" applyFont="1" applyFill="1" applyAlignment="1" applyProtection="1">
      <alignment horizontal="center" vertical="center"/>
      <protection hidden="1"/>
    </xf>
    <xf numFmtId="0" fontId="37" fillId="12" borderId="57" xfId="0" applyFont="1" applyFill="1" applyBorder="1" applyAlignment="1" applyProtection="1">
      <alignment horizontal="center" vertical="center"/>
      <protection hidden="1"/>
    </xf>
    <xf numFmtId="49" fontId="37" fillId="12" borderId="132" xfId="0" applyNumberFormat="1" applyFont="1" applyFill="1" applyBorder="1" applyAlignment="1" applyProtection="1">
      <alignment horizontal="center" vertical="center"/>
      <protection hidden="1"/>
    </xf>
    <xf numFmtId="0" fontId="49" fillId="12" borderId="132" xfId="0" applyFont="1" applyFill="1" applyBorder="1" applyAlignment="1" applyProtection="1">
      <alignment horizontal="center" vertical="center"/>
      <protection hidden="1"/>
    </xf>
    <xf numFmtId="2" fontId="49" fillId="12" borderId="132" xfId="0" applyNumberFormat="1" applyFont="1" applyFill="1" applyBorder="1" applyAlignment="1" applyProtection="1">
      <alignment horizontal="center" vertical="center"/>
      <protection hidden="1"/>
    </xf>
    <xf numFmtId="14" fontId="37" fillId="12" borderId="132" xfId="0" applyNumberFormat="1" applyFont="1" applyFill="1" applyBorder="1" applyAlignment="1" applyProtection="1">
      <alignment horizontal="center" vertical="center"/>
      <protection hidden="1"/>
    </xf>
    <xf numFmtId="14" fontId="49" fillId="12" borderId="134" xfId="0" applyNumberFormat="1" applyFont="1" applyFill="1" applyBorder="1" applyAlignment="1" applyProtection="1">
      <alignment horizontal="center" vertical="center"/>
      <protection hidden="1"/>
    </xf>
    <xf numFmtId="0" fontId="19" fillId="12" borderId="77" xfId="0" applyFont="1" applyFill="1" applyBorder="1" applyAlignment="1" applyProtection="1">
      <alignment horizontal="center" vertical="center"/>
      <protection hidden="1"/>
    </xf>
    <xf numFmtId="0" fontId="4" fillId="12" borderId="9" xfId="0" applyFont="1" applyFill="1" applyBorder="1" applyAlignment="1" applyProtection="1">
      <alignment horizontal="left" vertical="center"/>
      <protection hidden="1"/>
    </xf>
    <xf numFmtId="0" fontId="4" fillId="12" borderId="9" xfId="0" applyFont="1" applyFill="1" applyBorder="1" applyAlignment="1" applyProtection="1">
      <alignment horizontal="left"/>
      <protection hidden="1"/>
    </xf>
    <xf numFmtId="0" fontId="0" fillId="12" borderId="9" xfId="0" applyFill="1" applyBorder="1" applyAlignment="1" applyProtection="1">
      <alignment horizontal="left"/>
      <protection hidden="1"/>
    </xf>
    <xf numFmtId="0" fontId="0" fillId="12" borderId="9" xfId="0" applyFill="1" applyBorder="1" applyAlignment="1" applyProtection="1">
      <alignment horizontal="left" vertical="center"/>
      <protection hidden="1"/>
    </xf>
    <xf numFmtId="0" fontId="4" fillId="12" borderId="9" xfId="0" applyFont="1" applyFill="1" applyBorder="1" applyAlignment="1" applyProtection="1">
      <alignment horizontal="left" wrapText="1"/>
      <protection hidden="1"/>
    </xf>
    <xf numFmtId="0" fontId="34" fillId="12" borderId="9" xfId="0" applyFont="1" applyFill="1" applyBorder="1" applyAlignment="1" applyProtection="1">
      <alignment horizontal="left" wrapText="1"/>
      <protection hidden="1"/>
    </xf>
    <xf numFmtId="0" fontId="4" fillId="12" borderId="0" xfId="0" applyFont="1" applyFill="1" applyProtection="1">
      <protection hidden="1"/>
    </xf>
    <xf numFmtId="0" fontId="45" fillId="12" borderId="0" xfId="0" applyFont="1" applyFill="1" applyAlignment="1" applyProtection="1">
      <alignment horizontal="center"/>
      <protection hidden="1"/>
    </xf>
    <xf numFmtId="167" fontId="43" fillId="12" borderId="9" xfId="0" applyNumberFormat="1" applyFont="1" applyFill="1" applyBorder="1" applyAlignment="1" applyProtection="1">
      <alignment horizontal="center" vertical="center"/>
      <protection hidden="1"/>
    </xf>
    <xf numFmtId="1" fontId="43" fillId="12" borderId="9" xfId="0" applyNumberFormat="1" applyFont="1" applyFill="1" applyBorder="1" applyAlignment="1" applyProtection="1">
      <alignment horizontal="center" vertical="center"/>
      <protection hidden="1"/>
    </xf>
    <xf numFmtId="1" fontId="43" fillId="12" borderId="9" xfId="0" applyNumberFormat="1" applyFont="1" applyFill="1" applyBorder="1" applyAlignment="1" applyProtection="1">
      <alignment horizontal="center" vertical="center"/>
      <protection locked="0"/>
    </xf>
    <xf numFmtId="0" fontId="45" fillId="12" borderId="0" xfId="0" applyFont="1" applyFill="1" applyAlignment="1" applyProtection="1">
      <alignment vertical="top" wrapText="1"/>
      <protection hidden="1"/>
    </xf>
    <xf numFmtId="0" fontId="11" fillId="2" borderId="5" xfId="0" applyFont="1" applyFill="1" applyBorder="1" applyAlignment="1" applyProtection="1">
      <alignment horizontal="left" vertical="center" wrapText="1" indent="3"/>
      <protection hidden="1"/>
    </xf>
    <xf numFmtId="0" fontId="37" fillId="2" borderId="13" xfId="0" applyFont="1" applyFill="1" applyBorder="1" applyProtection="1">
      <protection hidden="1"/>
    </xf>
    <xf numFmtId="0" fontId="37" fillId="2" borderId="13" xfId="0" applyFont="1" applyFill="1" applyBorder="1" applyAlignment="1" applyProtection="1">
      <alignment horizontal="center"/>
      <protection hidden="1"/>
    </xf>
    <xf numFmtId="49" fontId="37" fillId="2" borderId="13" xfId="0" applyNumberFormat="1" applyFont="1" applyFill="1" applyBorder="1" applyAlignment="1" applyProtection="1">
      <alignment horizontal="center"/>
      <protection hidden="1"/>
    </xf>
    <xf numFmtId="0" fontId="37" fillId="2" borderId="74" xfId="0" applyFont="1" applyFill="1" applyBorder="1" applyProtection="1">
      <protection hidden="1"/>
    </xf>
    <xf numFmtId="14" fontId="37" fillId="2" borderId="74" xfId="0" applyNumberFormat="1" applyFont="1" applyFill="1" applyBorder="1" applyAlignment="1" applyProtection="1">
      <alignment horizontal="center"/>
      <protection hidden="1"/>
    </xf>
    <xf numFmtId="0" fontId="37" fillId="2" borderId="2" xfId="0" applyFont="1" applyFill="1" applyBorder="1" applyProtection="1">
      <protection hidden="1"/>
    </xf>
    <xf numFmtId="14" fontId="37" fillId="2" borderId="2" xfId="0" applyNumberFormat="1" applyFont="1" applyFill="1" applyBorder="1" applyAlignment="1" applyProtection="1">
      <alignment horizontal="center"/>
      <protection hidden="1"/>
    </xf>
    <xf numFmtId="0" fontId="43" fillId="13" borderId="0" xfId="0" applyFont="1" applyFill="1" applyAlignment="1" applyProtection="1">
      <alignment horizontal="center" wrapText="1"/>
      <protection hidden="1"/>
    </xf>
    <xf numFmtId="0" fontId="43" fillId="2" borderId="0" xfId="0" applyFont="1" applyFill="1" applyAlignment="1" applyProtection="1">
      <alignment horizontal="center"/>
      <protection hidden="1"/>
    </xf>
    <xf numFmtId="0" fontId="43" fillId="2" borderId="0" xfId="0" applyFont="1" applyFill="1" applyAlignment="1" applyProtection="1">
      <alignment horizontal="center" wrapText="1"/>
      <protection hidden="1"/>
    </xf>
    <xf numFmtId="0" fontId="37" fillId="2" borderId="77" xfId="0" applyFont="1" applyFill="1" applyBorder="1" applyAlignment="1" applyProtection="1">
      <alignment horizontal="center" wrapText="1"/>
      <protection hidden="1"/>
    </xf>
    <xf numFmtId="0" fontId="0" fillId="2" borderId="77" xfId="0" applyFill="1" applyBorder="1" applyAlignment="1" applyProtection="1">
      <alignment horizontal="center" wrapText="1"/>
      <protection hidden="1"/>
    </xf>
    <xf numFmtId="0" fontId="45" fillId="2" borderId="0" xfId="0" applyFont="1" applyFill="1" applyAlignment="1" applyProtection="1">
      <alignment horizontal="center"/>
      <protection hidden="1"/>
    </xf>
    <xf numFmtId="0" fontId="38" fillId="2" borderId="9" xfId="0" applyFont="1" applyFill="1" applyBorder="1" applyProtection="1">
      <protection hidden="1"/>
    </xf>
    <xf numFmtId="0" fontId="0" fillId="2" borderId="0" xfId="0" applyFill="1" applyProtection="1">
      <protection hidden="1"/>
    </xf>
    <xf numFmtId="0" fontId="40" fillId="2" borderId="0" xfId="0" applyFont="1" applyFill="1" applyProtection="1">
      <protection hidden="1"/>
    </xf>
    <xf numFmtId="0" fontId="0" fillId="2" borderId="0" xfId="0" applyFill="1" applyAlignment="1">
      <alignment vertical="center" wrapText="1"/>
    </xf>
    <xf numFmtId="0" fontId="57" fillId="9" borderId="9" xfId="0" applyFont="1" applyFill="1" applyBorder="1" applyAlignment="1" applyProtection="1">
      <alignment horizontal="center"/>
      <protection hidden="1"/>
    </xf>
    <xf numFmtId="0" fontId="43" fillId="7" borderId="9" xfId="0" applyFont="1" applyFill="1" applyBorder="1" applyAlignment="1" applyProtection="1">
      <alignment horizontal="left"/>
      <protection hidden="1"/>
    </xf>
    <xf numFmtId="0" fontId="45" fillId="15" borderId="2" xfId="0" applyFont="1" applyFill="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vertical="center"/>
      <protection hidden="1"/>
    </xf>
  </cellXfs>
  <cellStyles count="3">
    <cellStyle name="Erklärender Text" xfId="2" builtinId="53" customBuiltin="1"/>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66"/>
      <rgbColor rgb="FFFF00FF"/>
      <rgbColor rgb="FF00FFFF"/>
      <rgbColor rgb="FF800000"/>
      <rgbColor rgb="FF008000"/>
      <rgbColor rgb="FF280099"/>
      <rgbColor rgb="FF808000"/>
      <rgbColor rgb="FF800080"/>
      <rgbColor rgb="FF008080"/>
      <rgbColor rgb="FFC0C0C0"/>
      <rgbColor rgb="FF808080"/>
      <rgbColor rgb="FF99D9CD"/>
      <rgbColor rgb="FF993366"/>
      <rgbColor rgb="FFFFFFCC"/>
      <rgbColor rgb="FFCCFFFF"/>
      <rgbColor rgb="FF660066"/>
      <rgbColor rgb="FFFF8080"/>
      <rgbColor rgb="FF0066CC"/>
      <rgbColor rgb="FFD7D7D7"/>
      <rgbColor rgb="FF000080"/>
      <rgbColor rgb="FFFF00FF"/>
      <rgbColor rgb="FFADFF7F"/>
      <rgbColor rgb="FF00FFFF"/>
      <rgbColor rgb="FF800080"/>
      <rgbColor rgb="FF800000"/>
      <rgbColor rgb="FF008080"/>
      <rgbColor rgb="FF0000FF"/>
      <rgbColor rgb="FF00CCFF"/>
      <rgbColor rgb="FFEDEEFF"/>
      <rgbColor rgb="FFEEEEEE"/>
      <rgbColor rgb="FFFFFF99"/>
      <rgbColor rgb="FF99CCFF"/>
      <rgbColor rgb="FFF8DEAD"/>
      <rgbColor rgb="FFCCCCCC"/>
      <rgbColor rgb="FFFFCC99"/>
      <rgbColor rgb="FF3366FF"/>
      <rgbColor rgb="FF33CCCC"/>
      <rgbColor rgb="FFB3B300"/>
      <rgbColor rgb="FFE6E6E6"/>
      <rgbColor rgb="FFFF9900"/>
      <rgbColor rgb="FFFF6633"/>
      <rgbColor rgb="FF666699"/>
      <rgbColor rgb="FFB7DF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252000</xdr:colOff>
      <xdr:row>2</xdr:row>
      <xdr:rowOff>142920</xdr:rowOff>
    </xdr:from>
    <xdr:to>
      <xdr:col>3</xdr:col>
      <xdr:colOff>1059120</xdr:colOff>
      <xdr:row>8</xdr:row>
      <xdr:rowOff>38520</xdr:rowOff>
    </xdr:to>
    <xdr:pic>
      <xdr:nvPicPr>
        <xdr:cNvPr id="2" name="Picture 14">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664560" y="528840"/>
          <a:ext cx="2035080" cy="1504800"/>
        </a:xfrm>
        <a:prstGeom prst="rect">
          <a:avLst/>
        </a:prstGeom>
        <a:ln>
          <a:noFill/>
        </a:ln>
      </xdr:spPr>
    </xdr:pic>
    <xdr:clientData/>
  </xdr:twoCellAnchor>
  <xdr:twoCellAnchor>
    <xdr:from>
      <xdr:col>0</xdr:col>
      <xdr:colOff>0</xdr:colOff>
      <xdr:row>0</xdr:row>
      <xdr:rowOff>0</xdr:rowOff>
    </xdr:from>
    <xdr:to>
      <xdr:col>13</xdr:col>
      <xdr:colOff>47625</xdr:colOff>
      <xdr:row>36</xdr:row>
      <xdr:rowOff>152400</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47625</xdr:colOff>
      <xdr:row>36</xdr:row>
      <xdr:rowOff>152400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47625</xdr:colOff>
      <xdr:row>36</xdr:row>
      <xdr:rowOff>152400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81000</xdr:colOff>
      <xdr:row>1</xdr:row>
      <xdr:rowOff>152280</xdr:rowOff>
    </xdr:from>
    <xdr:to>
      <xdr:col>9</xdr:col>
      <xdr:colOff>444240</xdr:colOff>
      <xdr:row>4</xdr:row>
      <xdr:rowOff>10080</xdr:rowOff>
    </xdr:to>
    <xdr:pic>
      <xdr:nvPicPr>
        <xdr:cNvPr id="2" name="Picture 6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6141960" y="485640"/>
          <a:ext cx="886320" cy="646200"/>
        </a:xfrm>
        <a:prstGeom prst="rect">
          <a:avLst/>
        </a:prstGeom>
        <a:ln>
          <a:noFill/>
        </a:ln>
      </xdr:spPr>
    </xdr:pic>
    <xdr:clientData/>
  </xdr:twoCellAnchor>
  <xdr:twoCellAnchor>
    <xdr:from>
      <xdr:col>0</xdr:col>
      <xdr:colOff>0</xdr:colOff>
      <xdr:row>0</xdr:row>
      <xdr:rowOff>0</xdr:rowOff>
    </xdr:from>
    <xdr:to>
      <xdr:col>14</xdr:col>
      <xdr:colOff>438150</xdr:colOff>
      <xdr:row>49</xdr:row>
      <xdr:rowOff>57150</xdr:rowOff>
    </xdr:to>
    <xdr:sp macro="" textlink="">
      <xdr:nvSpPr>
        <xdr:cNvPr id="2084" name="shapetype_202" hidden="1">
          <a:extLst>
            <a:ext uri="{FF2B5EF4-FFF2-40B4-BE49-F238E27FC236}">
              <a16:creationId xmlns:a16="http://schemas.microsoft.com/office/drawing/2014/main" id="{00000000-0008-0000-0100-00002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82" name="shapetype_202" hidden="1">
          <a:extLst>
            <a:ext uri="{FF2B5EF4-FFF2-40B4-BE49-F238E27FC236}">
              <a16:creationId xmlns:a16="http://schemas.microsoft.com/office/drawing/2014/main" id="{00000000-0008-0000-0100-00002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80" name="shapetype_202" hidden="1">
          <a:extLst>
            <a:ext uri="{FF2B5EF4-FFF2-40B4-BE49-F238E27FC236}">
              <a16:creationId xmlns:a16="http://schemas.microsoft.com/office/drawing/2014/main" id="{00000000-0008-0000-0100-00002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78" name="shapetype_202" hidden="1">
          <a:extLst>
            <a:ext uri="{FF2B5EF4-FFF2-40B4-BE49-F238E27FC236}">
              <a16:creationId xmlns:a16="http://schemas.microsoft.com/office/drawing/2014/main" id="{00000000-0008-0000-0100-00001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76" name="shapetype_202" hidden="1">
          <a:extLst>
            <a:ext uri="{FF2B5EF4-FFF2-40B4-BE49-F238E27FC236}">
              <a16:creationId xmlns:a16="http://schemas.microsoft.com/office/drawing/2014/main" id="{00000000-0008-0000-0100-00001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74" name="shapetype_202" hidden="1">
          <a:extLst>
            <a:ext uri="{FF2B5EF4-FFF2-40B4-BE49-F238E27FC236}">
              <a16:creationId xmlns:a16="http://schemas.microsoft.com/office/drawing/2014/main" id="{00000000-0008-0000-0100-00001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72" name="shapetype_202" hidden="1">
          <a:extLst>
            <a:ext uri="{FF2B5EF4-FFF2-40B4-BE49-F238E27FC236}">
              <a16:creationId xmlns:a16="http://schemas.microsoft.com/office/drawing/2014/main" id="{00000000-0008-0000-0100-00001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70" name="shapetype_202" hidden="1">
          <a:extLst>
            <a:ext uri="{FF2B5EF4-FFF2-40B4-BE49-F238E27FC236}">
              <a16:creationId xmlns:a16="http://schemas.microsoft.com/office/drawing/2014/main" id="{00000000-0008-0000-0100-00001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68" name="shapetype_202" hidden="1">
          <a:extLst>
            <a:ext uri="{FF2B5EF4-FFF2-40B4-BE49-F238E27FC236}">
              <a16:creationId xmlns:a16="http://schemas.microsoft.com/office/drawing/2014/main" id="{00000000-0008-0000-0100-00001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66" name="shapetype_202" hidden="1">
          <a:extLst>
            <a:ext uri="{FF2B5EF4-FFF2-40B4-BE49-F238E27FC236}">
              <a16:creationId xmlns:a16="http://schemas.microsoft.com/office/drawing/2014/main" id="{00000000-0008-0000-0100-00001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64" name="shapetype_202" hidden="1">
          <a:extLst>
            <a:ext uri="{FF2B5EF4-FFF2-40B4-BE49-F238E27FC236}">
              <a16:creationId xmlns:a16="http://schemas.microsoft.com/office/drawing/2014/main" id="{00000000-0008-0000-0100-00001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62" name="shapetype_202" hidden="1">
          <a:extLst>
            <a:ext uri="{FF2B5EF4-FFF2-40B4-BE49-F238E27FC236}">
              <a16:creationId xmlns:a16="http://schemas.microsoft.com/office/drawing/2014/main" id="{00000000-0008-0000-0100-00000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60" name="shapetype_202" hidden="1">
          <a:extLst>
            <a:ext uri="{FF2B5EF4-FFF2-40B4-BE49-F238E27FC236}">
              <a16:creationId xmlns:a16="http://schemas.microsoft.com/office/drawing/2014/main" id="{00000000-0008-0000-0100-00000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58" name="shapetype_202"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56" name="shapetype_202"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54" name="shapetype_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52" name="shapetype_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438150</xdr:colOff>
      <xdr:row>49</xdr:row>
      <xdr:rowOff>57150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1209675</xdr:colOff>
      <xdr:row>38</xdr:row>
      <xdr:rowOff>47625</xdr:rowOff>
    </xdr:to>
    <xdr:sp macro="" textlink="">
      <xdr:nvSpPr>
        <xdr:cNvPr id="3190" name="shapetype_202" hidden="1">
          <a:extLst>
            <a:ext uri="{FF2B5EF4-FFF2-40B4-BE49-F238E27FC236}">
              <a16:creationId xmlns:a16="http://schemas.microsoft.com/office/drawing/2014/main" id="{00000000-0008-0000-0200-00007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88" name="shapetype_202" hidden="1">
          <a:extLst>
            <a:ext uri="{FF2B5EF4-FFF2-40B4-BE49-F238E27FC236}">
              <a16:creationId xmlns:a16="http://schemas.microsoft.com/office/drawing/2014/main" id="{00000000-0008-0000-0200-00007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86" name="shapetype_202" hidden="1">
          <a:extLst>
            <a:ext uri="{FF2B5EF4-FFF2-40B4-BE49-F238E27FC236}">
              <a16:creationId xmlns:a16="http://schemas.microsoft.com/office/drawing/2014/main" id="{00000000-0008-0000-0200-00007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84" name="shapetype_202" hidden="1">
          <a:extLst>
            <a:ext uri="{FF2B5EF4-FFF2-40B4-BE49-F238E27FC236}">
              <a16:creationId xmlns:a16="http://schemas.microsoft.com/office/drawing/2014/main" id="{00000000-0008-0000-0200-00007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82" name="shapetype_202" hidden="1">
          <a:extLst>
            <a:ext uri="{FF2B5EF4-FFF2-40B4-BE49-F238E27FC236}">
              <a16:creationId xmlns:a16="http://schemas.microsoft.com/office/drawing/2014/main" id="{00000000-0008-0000-0200-00006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80" name="shapetype_202" hidden="1">
          <a:extLst>
            <a:ext uri="{FF2B5EF4-FFF2-40B4-BE49-F238E27FC236}">
              <a16:creationId xmlns:a16="http://schemas.microsoft.com/office/drawing/2014/main" id="{00000000-0008-0000-0200-00006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78" name="shapetype_202" hidden="1">
          <a:extLst>
            <a:ext uri="{FF2B5EF4-FFF2-40B4-BE49-F238E27FC236}">
              <a16:creationId xmlns:a16="http://schemas.microsoft.com/office/drawing/2014/main" id="{00000000-0008-0000-0200-00006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76" name="shapetype_202" hidden="1">
          <a:extLst>
            <a:ext uri="{FF2B5EF4-FFF2-40B4-BE49-F238E27FC236}">
              <a16:creationId xmlns:a16="http://schemas.microsoft.com/office/drawing/2014/main" id="{00000000-0008-0000-0200-00006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74" name="shapetype_202" hidden="1">
          <a:extLst>
            <a:ext uri="{FF2B5EF4-FFF2-40B4-BE49-F238E27FC236}">
              <a16:creationId xmlns:a16="http://schemas.microsoft.com/office/drawing/2014/main" id="{00000000-0008-0000-0200-00006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72" name="shapetype_202" hidden="1">
          <a:extLst>
            <a:ext uri="{FF2B5EF4-FFF2-40B4-BE49-F238E27FC236}">
              <a16:creationId xmlns:a16="http://schemas.microsoft.com/office/drawing/2014/main" id="{00000000-0008-0000-0200-00006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70" name="shapetype_202" hidden="1">
          <a:extLst>
            <a:ext uri="{FF2B5EF4-FFF2-40B4-BE49-F238E27FC236}">
              <a16:creationId xmlns:a16="http://schemas.microsoft.com/office/drawing/2014/main" id="{00000000-0008-0000-0200-00006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68" name="shapetype_202" hidden="1">
          <a:extLst>
            <a:ext uri="{FF2B5EF4-FFF2-40B4-BE49-F238E27FC236}">
              <a16:creationId xmlns:a16="http://schemas.microsoft.com/office/drawing/2014/main" id="{00000000-0008-0000-0200-00006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66" name="shapetype_202" hidden="1">
          <a:extLst>
            <a:ext uri="{FF2B5EF4-FFF2-40B4-BE49-F238E27FC236}">
              <a16:creationId xmlns:a16="http://schemas.microsoft.com/office/drawing/2014/main" id="{00000000-0008-0000-0200-00005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64" name="shapetype_202" hidden="1">
          <a:extLst>
            <a:ext uri="{FF2B5EF4-FFF2-40B4-BE49-F238E27FC236}">
              <a16:creationId xmlns:a16="http://schemas.microsoft.com/office/drawing/2014/main" id="{00000000-0008-0000-0200-00005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62" name="shapetype_202" hidden="1">
          <a:extLst>
            <a:ext uri="{FF2B5EF4-FFF2-40B4-BE49-F238E27FC236}">
              <a16:creationId xmlns:a16="http://schemas.microsoft.com/office/drawing/2014/main" id="{00000000-0008-0000-0200-00005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60" name="shapetype_202" hidden="1">
          <a:extLst>
            <a:ext uri="{FF2B5EF4-FFF2-40B4-BE49-F238E27FC236}">
              <a16:creationId xmlns:a16="http://schemas.microsoft.com/office/drawing/2014/main" id="{00000000-0008-0000-0200-00005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58" name="shapetype_202" hidden="1">
          <a:extLst>
            <a:ext uri="{FF2B5EF4-FFF2-40B4-BE49-F238E27FC236}">
              <a16:creationId xmlns:a16="http://schemas.microsoft.com/office/drawing/2014/main" id="{00000000-0008-0000-0200-00005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56" name="shapetype_202" hidden="1">
          <a:extLst>
            <a:ext uri="{FF2B5EF4-FFF2-40B4-BE49-F238E27FC236}">
              <a16:creationId xmlns:a16="http://schemas.microsoft.com/office/drawing/2014/main" id="{00000000-0008-0000-0200-00005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54" name="shapetype_202" hidden="1">
          <a:extLst>
            <a:ext uri="{FF2B5EF4-FFF2-40B4-BE49-F238E27FC236}">
              <a16:creationId xmlns:a16="http://schemas.microsoft.com/office/drawing/2014/main" id="{00000000-0008-0000-0200-00005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52" name="shapetype_202" hidden="1">
          <a:extLst>
            <a:ext uri="{FF2B5EF4-FFF2-40B4-BE49-F238E27FC236}">
              <a16:creationId xmlns:a16="http://schemas.microsoft.com/office/drawing/2014/main" id="{00000000-0008-0000-0200-00005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50" name="shapetype_202" hidden="1">
          <a:extLst>
            <a:ext uri="{FF2B5EF4-FFF2-40B4-BE49-F238E27FC236}">
              <a16:creationId xmlns:a16="http://schemas.microsoft.com/office/drawing/2014/main" id="{00000000-0008-0000-0200-00004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48" name="shapetype_202" hidden="1">
          <a:extLst>
            <a:ext uri="{FF2B5EF4-FFF2-40B4-BE49-F238E27FC236}">
              <a16:creationId xmlns:a16="http://schemas.microsoft.com/office/drawing/2014/main" id="{00000000-0008-0000-0200-00004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46" name="shapetype_202" hidden="1">
          <a:extLst>
            <a:ext uri="{FF2B5EF4-FFF2-40B4-BE49-F238E27FC236}">
              <a16:creationId xmlns:a16="http://schemas.microsoft.com/office/drawing/2014/main" id="{00000000-0008-0000-0200-00004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44" name="shapetype_202" hidden="1">
          <a:extLst>
            <a:ext uri="{FF2B5EF4-FFF2-40B4-BE49-F238E27FC236}">
              <a16:creationId xmlns:a16="http://schemas.microsoft.com/office/drawing/2014/main" id="{00000000-0008-0000-0200-00004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42" name="shapetype_202" hidden="1">
          <a:extLst>
            <a:ext uri="{FF2B5EF4-FFF2-40B4-BE49-F238E27FC236}">
              <a16:creationId xmlns:a16="http://schemas.microsoft.com/office/drawing/2014/main" id="{00000000-0008-0000-0200-00004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40" name="shapetype_202" hidden="1">
          <a:extLst>
            <a:ext uri="{FF2B5EF4-FFF2-40B4-BE49-F238E27FC236}">
              <a16:creationId xmlns:a16="http://schemas.microsoft.com/office/drawing/2014/main" id="{00000000-0008-0000-0200-00004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38" name="shapetype_202" hidden="1">
          <a:extLst>
            <a:ext uri="{FF2B5EF4-FFF2-40B4-BE49-F238E27FC236}">
              <a16:creationId xmlns:a16="http://schemas.microsoft.com/office/drawing/2014/main" id="{00000000-0008-0000-0200-00004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36" name="shapetype_202" hidden="1">
          <a:extLst>
            <a:ext uri="{FF2B5EF4-FFF2-40B4-BE49-F238E27FC236}">
              <a16:creationId xmlns:a16="http://schemas.microsoft.com/office/drawing/2014/main" id="{00000000-0008-0000-0200-00004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34" name="shapetype_202" hidden="1">
          <a:extLst>
            <a:ext uri="{FF2B5EF4-FFF2-40B4-BE49-F238E27FC236}">
              <a16:creationId xmlns:a16="http://schemas.microsoft.com/office/drawing/2014/main" id="{00000000-0008-0000-0200-00003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32" name="shapetype_202" hidden="1">
          <a:extLst>
            <a:ext uri="{FF2B5EF4-FFF2-40B4-BE49-F238E27FC236}">
              <a16:creationId xmlns:a16="http://schemas.microsoft.com/office/drawing/2014/main" id="{00000000-0008-0000-0200-00003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30" name="shapetype_202" hidden="1">
          <a:extLst>
            <a:ext uri="{FF2B5EF4-FFF2-40B4-BE49-F238E27FC236}">
              <a16:creationId xmlns:a16="http://schemas.microsoft.com/office/drawing/2014/main" id="{00000000-0008-0000-0200-00003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28" name="shapetype_202" hidden="1">
          <a:extLst>
            <a:ext uri="{FF2B5EF4-FFF2-40B4-BE49-F238E27FC236}">
              <a16:creationId xmlns:a16="http://schemas.microsoft.com/office/drawing/2014/main" id="{00000000-0008-0000-0200-00003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26" name="shapetype_202" hidden="1">
          <a:extLst>
            <a:ext uri="{FF2B5EF4-FFF2-40B4-BE49-F238E27FC236}">
              <a16:creationId xmlns:a16="http://schemas.microsoft.com/office/drawing/2014/main" id="{00000000-0008-0000-0200-00003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24" name="shapetype_202" hidden="1">
          <a:extLst>
            <a:ext uri="{FF2B5EF4-FFF2-40B4-BE49-F238E27FC236}">
              <a16:creationId xmlns:a16="http://schemas.microsoft.com/office/drawing/2014/main" id="{00000000-0008-0000-0200-00003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22" name="shapetype_202" hidden="1">
          <a:extLst>
            <a:ext uri="{FF2B5EF4-FFF2-40B4-BE49-F238E27FC236}">
              <a16:creationId xmlns:a16="http://schemas.microsoft.com/office/drawing/2014/main" id="{00000000-0008-0000-0200-00003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20" name="shapetype_202" hidden="1">
          <a:extLst>
            <a:ext uri="{FF2B5EF4-FFF2-40B4-BE49-F238E27FC236}">
              <a16:creationId xmlns:a16="http://schemas.microsoft.com/office/drawing/2014/main" id="{00000000-0008-0000-0200-00003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18" name="shapetype_202" hidden="1">
          <a:extLst>
            <a:ext uri="{FF2B5EF4-FFF2-40B4-BE49-F238E27FC236}">
              <a16:creationId xmlns:a16="http://schemas.microsoft.com/office/drawing/2014/main" id="{00000000-0008-0000-0200-00002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16" name="shapetype_202" hidden="1">
          <a:extLst>
            <a:ext uri="{FF2B5EF4-FFF2-40B4-BE49-F238E27FC236}">
              <a16:creationId xmlns:a16="http://schemas.microsoft.com/office/drawing/2014/main" id="{00000000-0008-0000-0200-00002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14" name="shapetype_202" hidden="1">
          <a:extLst>
            <a:ext uri="{FF2B5EF4-FFF2-40B4-BE49-F238E27FC236}">
              <a16:creationId xmlns:a16="http://schemas.microsoft.com/office/drawing/2014/main" id="{00000000-0008-0000-0200-00002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12" name="shapetype_202" hidden="1">
          <a:extLst>
            <a:ext uri="{FF2B5EF4-FFF2-40B4-BE49-F238E27FC236}">
              <a16:creationId xmlns:a16="http://schemas.microsoft.com/office/drawing/2014/main" id="{00000000-0008-0000-0200-00002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10" name="shapetype_202" hidden="1">
          <a:extLst>
            <a:ext uri="{FF2B5EF4-FFF2-40B4-BE49-F238E27FC236}">
              <a16:creationId xmlns:a16="http://schemas.microsoft.com/office/drawing/2014/main" id="{00000000-0008-0000-0200-00002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08" name="shapetype_202" hidden="1">
          <a:extLst>
            <a:ext uri="{FF2B5EF4-FFF2-40B4-BE49-F238E27FC236}">
              <a16:creationId xmlns:a16="http://schemas.microsoft.com/office/drawing/2014/main" id="{00000000-0008-0000-0200-00002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06" name="shapetype_202" hidden="1">
          <a:extLst>
            <a:ext uri="{FF2B5EF4-FFF2-40B4-BE49-F238E27FC236}">
              <a16:creationId xmlns:a16="http://schemas.microsoft.com/office/drawing/2014/main" id="{00000000-0008-0000-0200-00002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04" name="shapetype_202" hidden="1">
          <a:extLst>
            <a:ext uri="{FF2B5EF4-FFF2-40B4-BE49-F238E27FC236}">
              <a16:creationId xmlns:a16="http://schemas.microsoft.com/office/drawing/2014/main" id="{00000000-0008-0000-0200-00002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02" name="shapetype_202" hidden="1">
          <a:extLst>
            <a:ext uri="{FF2B5EF4-FFF2-40B4-BE49-F238E27FC236}">
              <a16:creationId xmlns:a16="http://schemas.microsoft.com/office/drawing/2014/main" id="{00000000-0008-0000-0200-00001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100" name="shapetype_202" hidden="1">
          <a:extLst>
            <a:ext uri="{FF2B5EF4-FFF2-40B4-BE49-F238E27FC236}">
              <a16:creationId xmlns:a16="http://schemas.microsoft.com/office/drawing/2014/main" id="{00000000-0008-0000-0200-00001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98" name="shapetype_202" hidden="1">
          <a:extLst>
            <a:ext uri="{FF2B5EF4-FFF2-40B4-BE49-F238E27FC236}">
              <a16:creationId xmlns:a16="http://schemas.microsoft.com/office/drawing/2014/main" id="{00000000-0008-0000-0200-00001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96" name="shapetype_202" hidden="1">
          <a:extLst>
            <a:ext uri="{FF2B5EF4-FFF2-40B4-BE49-F238E27FC236}">
              <a16:creationId xmlns:a16="http://schemas.microsoft.com/office/drawing/2014/main" id="{00000000-0008-0000-0200-00001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94" name="shapetype_202" hidden="1">
          <a:extLst>
            <a:ext uri="{FF2B5EF4-FFF2-40B4-BE49-F238E27FC236}">
              <a16:creationId xmlns:a16="http://schemas.microsoft.com/office/drawing/2014/main" id="{00000000-0008-0000-0200-00001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92" name="shapetype_202" hidden="1">
          <a:extLst>
            <a:ext uri="{FF2B5EF4-FFF2-40B4-BE49-F238E27FC236}">
              <a16:creationId xmlns:a16="http://schemas.microsoft.com/office/drawing/2014/main" id="{00000000-0008-0000-0200-00001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90" name="shapetype_202" hidden="1">
          <a:extLst>
            <a:ext uri="{FF2B5EF4-FFF2-40B4-BE49-F238E27FC236}">
              <a16:creationId xmlns:a16="http://schemas.microsoft.com/office/drawing/2014/main" id="{00000000-0008-0000-0200-00001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88" name="shapetype_202" hidden="1">
          <a:extLst>
            <a:ext uri="{FF2B5EF4-FFF2-40B4-BE49-F238E27FC236}">
              <a16:creationId xmlns:a16="http://schemas.microsoft.com/office/drawing/2014/main" id="{00000000-0008-0000-0200-00001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86" name="shapetype_202" hidden="1">
          <a:extLst>
            <a:ext uri="{FF2B5EF4-FFF2-40B4-BE49-F238E27FC236}">
              <a16:creationId xmlns:a16="http://schemas.microsoft.com/office/drawing/2014/main" id="{00000000-0008-0000-0200-00000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84" name="shapetype_202" hidden="1">
          <a:extLst>
            <a:ext uri="{FF2B5EF4-FFF2-40B4-BE49-F238E27FC236}">
              <a16:creationId xmlns:a16="http://schemas.microsoft.com/office/drawing/2014/main" id="{00000000-0008-0000-0200-00000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82" name="shapetype_202" hidden="1">
          <a:extLst>
            <a:ext uri="{FF2B5EF4-FFF2-40B4-BE49-F238E27FC236}">
              <a16:creationId xmlns:a16="http://schemas.microsoft.com/office/drawing/2014/main" id="{00000000-0008-0000-0200-00000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80" name="shapetype_202" hidden="1">
          <a:extLst>
            <a:ext uri="{FF2B5EF4-FFF2-40B4-BE49-F238E27FC236}">
              <a16:creationId xmlns:a16="http://schemas.microsoft.com/office/drawing/2014/main" id="{00000000-0008-0000-02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78" name="shapetype_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76" name="shapetype_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1209675</xdr:colOff>
      <xdr:row>38</xdr:row>
      <xdr:rowOff>47625</xdr:rowOff>
    </xdr:to>
    <xdr:sp macro="" textlink="">
      <xdr:nvSpPr>
        <xdr:cNvPr id="3074" name="shapetype_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664560</xdr:colOff>
      <xdr:row>1</xdr:row>
      <xdr:rowOff>66960</xdr:rowOff>
    </xdr:from>
    <xdr:to>
      <xdr:col>4</xdr:col>
      <xdr:colOff>1955520</xdr:colOff>
      <xdr:row>2</xdr:row>
      <xdr:rowOff>858960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268280" y="352440"/>
          <a:ext cx="1290960" cy="9446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664920</xdr:colOff>
      <xdr:row>1</xdr:row>
      <xdr:rowOff>66960</xdr:rowOff>
    </xdr:from>
    <xdr:to>
      <xdr:col>4</xdr:col>
      <xdr:colOff>1996560</xdr:colOff>
      <xdr:row>2</xdr:row>
      <xdr:rowOff>858960</xdr:rowOff>
    </xdr:to>
    <xdr:pic>
      <xdr:nvPicPr>
        <xdr:cNvPr id="3" name="Picture 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xdr:blipFill>
      <xdr:spPr>
        <a:xfrm>
          <a:off x="1238760" y="314280"/>
          <a:ext cx="1331640" cy="9446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695520</xdr:colOff>
      <xdr:row>1</xdr:row>
      <xdr:rowOff>75960</xdr:rowOff>
    </xdr:from>
    <xdr:to>
      <xdr:col>16</xdr:col>
      <xdr:colOff>182520</xdr:colOff>
      <xdr:row>8</xdr:row>
      <xdr:rowOff>201240</xdr:rowOff>
    </xdr:to>
    <xdr:pic>
      <xdr:nvPicPr>
        <xdr:cNvPr id="4" name="Picture 1">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xdr:blipFill>
      <xdr:spPr>
        <a:xfrm>
          <a:off x="9801720" y="399600"/>
          <a:ext cx="1802880" cy="1306440"/>
        </a:xfrm>
        <a:prstGeom prst="rect">
          <a:avLst/>
        </a:prstGeom>
        <a:ln>
          <a:noFill/>
        </a:ln>
      </xdr:spPr>
    </xdr:pic>
    <xdr:clientData/>
  </xdr:twoCellAnchor>
  <xdr:twoCellAnchor>
    <xdr:from>
      <xdr:col>0</xdr:col>
      <xdr:colOff>0</xdr:colOff>
      <xdr:row>0</xdr:row>
      <xdr:rowOff>0</xdr:rowOff>
    </xdr:from>
    <xdr:to>
      <xdr:col>14</xdr:col>
      <xdr:colOff>304800</xdr:colOff>
      <xdr:row>44</xdr:row>
      <xdr:rowOff>57150</xdr:rowOff>
    </xdr:to>
    <xdr:sp macro="" textlink="">
      <xdr:nvSpPr>
        <xdr:cNvPr id="6158" name="shapetype_202" hidden="1">
          <a:extLst>
            <a:ext uri="{FF2B5EF4-FFF2-40B4-BE49-F238E27FC236}">
              <a16:creationId xmlns:a16="http://schemas.microsoft.com/office/drawing/2014/main" id="{00000000-0008-0000-0500-00000E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304800</xdr:colOff>
      <xdr:row>44</xdr:row>
      <xdr:rowOff>57150</xdr:rowOff>
    </xdr:to>
    <xdr:sp macro="" textlink="">
      <xdr:nvSpPr>
        <xdr:cNvPr id="6156" name="shapetype_202" hidden="1">
          <a:extLst>
            <a:ext uri="{FF2B5EF4-FFF2-40B4-BE49-F238E27FC236}">
              <a16:creationId xmlns:a16="http://schemas.microsoft.com/office/drawing/2014/main" id="{00000000-0008-0000-0500-00000C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304800</xdr:colOff>
      <xdr:row>44</xdr:row>
      <xdr:rowOff>57150</xdr:rowOff>
    </xdr:to>
    <xdr:sp macro="" textlink="">
      <xdr:nvSpPr>
        <xdr:cNvPr id="6154" name="shapetype_202" hidden="1">
          <a:extLst>
            <a:ext uri="{FF2B5EF4-FFF2-40B4-BE49-F238E27FC236}">
              <a16:creationId xmlns:a16="http://schemas.microsoft.com/office/drawing/2014/main" id="{00000000-0008-0000-0500-00000A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304800</xdr:colOff>
      <xdr:row>44</xdr:row>
      <xdr:rowOff>57150</xdr:rowOff>
    </xdr:to>
    <xdr:sp macro="" textlink="">
      <xdr:nvSpPr>
        <xdr:cNvPr id="6152" name="shapetype_202" hidden="1">
          <a:extLst>
            <a:ext uri="{FF2B5EF4-FFF2-40B4-BE49-F238E27FC236}">
              <a16:creationId xmlns:a16="http://schemas.microsoft.com/office/drawing/2014/main" id="{00000000-0008-0000-0500-000008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304800</xdr:colOff>
      <xdr:row>44</xdr:row>
      <xdr:rowOff>57150</xdr:rowOff>
    </xdr:to>
    <xdr:sp macro="" textlink="">
      <xdr:nvSpPr>
        <xdr:cNvPr id="6150" name="shapetype_202" hidden="1">
          <a:extLst>
            <a:ext uri="{FF2B5EF4-FFF2-40B4-BE49-F238E27FC236}">
              <a16:creationId xmlns:a16="http://schemas.microsoft.com/office/drawing/2014/main" id="{00000000-0008-0000-0500-000006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304800</xdr:colOff>
      <xdr:row>44</xdr:row>
      <xdr:rowOff>57150</xdr:rowOff>
    </xdr:to>
    <xdr:sp macro="" textlink="">
      <xdr:nvSpPr>
        <xdr:cNvPr id="6148" name="shapetype_202" hidden="1">
          <a:extLst>
            <a:ext uri="{FF2B5EF4-FFF2-40B4-BE49-F238E27FC236}">
              <a16:creationId xmlns:a16="http://schemas.microsoft.com/office/drawing/2014/main" id="{00000000-0008-0000-05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304800</xdr:colOff>
      <xdr:row>44</xdr:row>
      <xdr:rowOff>57150</xdr:rowOff>
    </xdr:to>
    <xdr:sp macro="" textlink="">
      <xdr:nvSpPr>
        <xdr:cNvPr id="6146" name="shapetype_202" hidden="1">
          <a:extLst>
            <a:ext uri="{FF2B5EF4-FFF2-40B4-BE49-F238E27FC236}">
              <a16:creationId xmlns:a16="http://schemas.microsoft.com/office/drawing/2014/main" id="{00000000-0008-0000-05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hyperlink" Target="mailto:E-mail:HBM49434@Freenet.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A76"/>
  <sheetViews>
    <sheetView showGridLines="0" showRowColHeaders="0" zoomScaleNormal="100" workbookViewId="0">
      <selection activeCell="P39" sqref="P39"/>
    </sheetView>
  </sheetViews>
  <sheetFormatPr baseColWidth="10" defaultColWidth="9.140625" defaultRowHeight="12.75" x14ac:dyDescent="0.2"/>
  <cols>
    <col min="1" max="1" width="3.28515625"/>
    <col min="2" max="2" width="2.5703125"/>
    <col min="3" max="3" width="17.42578125" style="18"/>
    <col min="4" max="4" width="22.85546875" style="18"/>
    <col min="5" max="6" width="20.85546875" style="18"/>
    <col min="7" max="7" width="18" style="19"/>
    <col min="8" max="8" width="3.28515625" style="20"/>
    <col min="9" max="9" width="11" style="20"/>
    <col min="10" max="11" width="0" style="20" hidden="1"/>
    <col min="12" max="42" width="11" style="20"/>
    <col min="43" max="131" width="11" style="18"/>
    <col min="132" max="1025" width="11.7109375"/>
  </cols>
  <sheetData>
    <row r="1" spans="1:42" ht="15" customHeight="1" x14ac:dyDescent="0.2">
      <c r="A1" s="21"/>
      <c r="B1" s="21"/>
      <c r="C1" s="20"/>
      <c r="D1" s="20"/>
      <c r="E1" s="20"/>
      <c r="F1" s="20"/>
      <c r="G1" s="20"/>
    </row>
    <row r="2" spans="1:42" ht="15.4" customHeight="1" x14ac:dyDescent="0.3">
      <c r="A2" s="21"/>
      <c r="B2" s="22"/>
      <c r="C2" s="23"/>
      <c r="D2" s="24"/>
      <c r="E2" s="25"/>
      <c r="F2" s="25"/>
      <c r="G2" s="22"/>
      <c r="H2" s="22"/>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ht="15.4" customHeight="1" x14ac:dyDescent="0.3">
      <c r="A3" s="21"/>
      <c r="B3" s="22"/>
      <c r="C3" s="26"/>
      <c r="D3" s="27"/>
      <c r="E3" s="28"/>
      <c r="F3" s="28"/>
      <c r="G3" s="29"/>
      <c r="H3" s="22"/>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ht="42.6" customHeight="1" x14ac:dyDescent="0.3">
      <c r="A4" s="21"/>
      <c r="B4" s="22"/>
      <c r="C4" s="30"/>
      <c r="D4" s="24"/>
      <c r="E4" s="914" t="s">
        <v>0</v>
      </c>
      <c r="F4" s="914"/>
      <c r="G4" s="31"/>
      <c r="H4" s="22"/>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ht="22.9" customHeight="1" x14ac:dyDescent="0.3">
      <c r="A5" s="21"/>
      <c r="B5" s="22"/>
      <c r="C5" s="32"/>
      <c r="D5" s="24"/>
      <c r="E5" s="915" t="s">
        <v>1</v>
      </c>
      <c r="F5" s="915"/>
      <c r="G5" s="31"/>
      <c r="H5" s="22"/>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ht="22.9" customHeight="1" x14ac:dyDescent="0.25">
      <c r="A6" s="21"/>
      <c r="B6" s="22"/>
      <c r="C6" s="916" t="s">
        <v>2</v>
      </c>
      <c r="D6" s="916"/>
      <c r="E6" s="916"/>
      <c r="F6" s="916"/>
      <c r="G6" s="916"/>
      <c r="H6" s="22"/>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ht="22.9" customHeight="1" x14ac:dyDescent="0.3">
      <c r="A7" s="21"/>
      <c r="B7" s="22"/>
      <c r="C7" s="32"/>
      <c r="D7" s="24"/>
      <c r="E7" s="25"/>
      <c r="F7" s="25"/>
      <c r="G7" s="31"/>
      <c r="H7" s="22"/>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ht="22.9" hidden="1" customHeight="1" x14ac:dyDescent="0.25">
      <c r="A8" s="21"/>
      <c r="B8" s="22"/>
      <c r="C8" s="917"/>
      <c r="D8" s="917"/>
      <c r="E8" s="917"/>
      <c r="F8" s="917"/>
      <c r="G8" s="917"/>
      <c r="H8" s="22"/>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1:42" ht="22.9" customHeight="1" x14ac:dyDescent="0.25">
      <c r="A9" s="21"/>
      <c r="B9" s="22"/>
      <c r="C9" s="33"/>
      <c r="D9" s="22"/>
      <c r="E9" s="22"/>
      <c r="F9" s="22"/>
      <c r="G9" s="31"/>
      <c r="H9" s="22"/>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22.9" customHeight="1" x14ac:dyDescent="0.25">
      <c r="A10" s="21"/>
      <c r="B10" s="22"/>
      <c r="C10" s="918" t="s">
        <v>3</v>
      </c>
      <c r="D10" s="918"/>
      <c r="E10" s="918"/>
      <c r="F10" s="918"/>
      <c r="G10" s="918"/>
      <c r="H10" s="22"/>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row>
    <row r="11" spans="1:42" ht="23.25" customHeight="1" x14ac:dyDescent="0.2">
      <c r="A11" s="21"/>
      <c r="B11" s="22"/>
      <c r="C11" s="30"/>
      <c r="D11" s="919" t="str">
        <f>IF(J31&gt;0,"Achtung:  Bitte vervollständigen Sie Ihre Eingaben in den weissen Feldern: Fehlende sind mit Stern markiert!!!","")</f>
        <v/>
      </c>
      <c r="E11" s="919"/>
      <c r="F11" s="919"/>
      <c r="G11" s="31"/>
      <c r="H11" s="22"/>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2" spans="1:42" ht="22.9" customHeight="1" x14ac:dyDescent="0.2">
      <c r="A12" s="21"/>
      <c r="B12" s="22"/>
      <c r="C12" s="34" t="str">
        <f>IF(E12="","*","")</f>
        <v/>
      </c>
      <c r="D12" s="35" t="s">
        <v>4</v>
      </c>
      <c r="E12" s="920" t="s">
        <v>5</v>
      </c>
      <c r="F12" s="920"/>
      <c r="G12" s="31"/>
      <c r="H12" s="22"/>
      <c r="I12" s="21"/>
      <c r="J12">
        <f>IF(C12="*",1,0)</f>
        <v>0</v>
      </c>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row>
    <row r="13" spans="1:42" ht="22.9" customHeight="1" x14ac:dyDescent="0.2">
      <c r="A13" s="21"/>
      <c r="B13" s="22"/>
      <c r="C13" s="34"/>
      <c r="D13" s="36"/>
      <c r="E13" s="37"/>
      <c r="F13" s="37"/>
      <c r="G13" s="31"/>
      <c r="H13" s="22"/>
      <c r="I13" s="21"/>
      <c r="J13"/>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row>
    <row r="14" spans="1:42" ht="22.9" customHeight="1" x14ac:dyDescent="0.2">
      <c r="A14" s="21"/>
      <c r="B14" s="22"/>
      <c r="C14" s="38" t="str">
        <f>IF(E14="","",IF(K14=1,IF(K15=1,"Doppelte Eingabe","")))</f>
        <v/>
      </c>
      <c r="D14" s="39" t="s">
        <v>6</v>
      </c>
      <c r="E14" s="921"/>
      <c r="F14" s="921"/>
      <c r="G14" s="31"/>
      <c r="H14" s="22"/>
      <c r="I14" s="21"/>
      <c r="J14">
        <f t="shared" ref="J14:J30" si="0">IF(C14="*",1,0)</f>
        <v>0</v>
      </c>
      <c r="K14" s="21">
        <f>IF(E14="",0,1)</f>
        <v>0</v>
      </c>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row>
    <row r="15" spans="1:42" ht="22.9" customHeight="1" x14ac:dyDescent="0.2">
      <c r="A15" s="21"/>
      <c r="B15" s="22"/>
      <c r="C15" s="40"/>
      <c r="D15" s="23"/>
      <c r="E15" s="922" t="s">
        <v>7</v>
      </c>
      <c r="F15" s="922"/>
      <c r="G15" s="31"/>
      <c r="H15" s="22"/>
      <c r="I15" s="21"/>
      <c r="J15">
        <f t="shared" si="0"/>
        <v>0</v>
      </c>
      <c r="K15" s="21">
        <f>IF(E16="",0,1)</f>
        <v>1</v>
      </c>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row>
    <row r="16" spans="1:42" ht="22.9" customHeight="1" x14ac:dyDescent="0.2">
      <c r="A16" s="21"/>
      <c r="B16" s="22"/>
      <c r="C16" s="34"/>
      <c r="D16" s="39" t="s">
        <v>8</v>
      </c>
      <c r="E16" s="2">
        <v>2018</v>
      </c>
      <c r="F16" s="2">
        <v>2019</v>
      </c>
      <c r="G16" s="31"/>
      <c r="H16" s="22"/>
      <c r="I16" s="21"/>
      <c r="J16">
        <f t="shared" si="0"/>
        <v>0</v>
      </c>
      <c r="K16" s="21">
        <f>IF(F16="",0,1)</f>
        <v>1</v>
      </c>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row>
    <row r="17" spans="1:42" ht="22.9" customHeight="1" x14ac:dyDescent="0.2">
      <c r="A17" s="21"/>
      <c r="B17" s="22"/>
      <c r="C17" s="40"/>
      <c r="D17" s="23"/>
      <c r="E17" s="41"/>
      <c r="F17" s="22"/>
      <c r="G17" s="31"/>
      <c r="H17" s="22"/>
      <c r="I17" s="21"/>
      <c r="J17">
        <f t="shared" si="0"/>
        <v>0</v>
      </c>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row>
    <row r="18" spans="1:42" ht="22.9" customHeight="1" x14ac:dyDescent="0.2">
      <c r="A18" s="21"/>
      <c r="B18" s="22"/>
      <c r="C18" s="34" t="str">
        <f>IF(E18="","*","")</f>
        <v/>
      </c>
      <c r="D18" s="39" t="s">
        <v>9</v>
      </c>
      <c r="E18" s="923" t="s">
        <v>10</v>
      </c>
      <c r="F18" s="923"/>
      <c r="G18" s="31"/>
      <c r="H18" s="22"/>
      <c r="I18" s="21"/>
      <c r="J18">
        <f t="shared" si="0"/>
        <v>0</v>
      </c>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row>
    <row r="19" spans="1:42" ht="22.9" customHeight="1" x14ac:dyDescent="0.2">
      <c r="A19" s="21"/>
      <c r="B19" s="22"/>
      <c r="C19" s="40"/>
      <c r="D19" s="23"/>
      <c r="E19" s="22"/>
      <c r="F19" s="22"/>
      <c r="G19" s="31"/>
      <c r="H19" s="22"/>
      <c r="I19" s="21"/>
      <c r="J19">
        <f t="shared" si="0"/>
        <v>0</v>
      </c>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row>
    <row r="20" spans="1:42" ht="22.9" customHeight="1" x14ac:dyDescent="0.2">
      <c r="A20" s="21"/>
      <c r="B20" s="22"/>
      <c r="C20" s="34" t="str">
        <f>IF(E20="","*","")</f>
        <v/>
      </c>
      <c r="D20" s="39" t="s">
        <v>11</v>
      </c>
      <c r="E20" s="923" t="s">
        <v>12</v>
      </c>
      <c r="F20" s="923"/>
      <c r="G20" s="31"/>
      <c r="H20" s="22"/>
      <c r="I20" s="21"/>
      <c r="J20">
        <f t="shared" si="0"/>
        <v>0</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42" ht="22.9" customHeight="1" x14ac:dyDescent="0.2">
      <c r="A21" s="21"/>
      <c r="B21" s="22"/>
      <c r="C21" s="40"/>
      <c r="D21" s="23"/>
      <c r="E21" s="23"/>
      <c r="F21" s="22"/>
      <c r="G21" s="31"/>
      <c r="H21" s="22"/>
      <c r="I21" s="21"/>
      <c r="J21">
        <f t="shared" si="0"/>
        <v>0</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spans="1:42" ht="22.9" customHeight="1" x14ac:dyDescent="0.2">
      <c r="A22" s="21"/>
      <c r="B22" s="22"/>
      <c r="C22" s="34" t="str">
        <f>IF(E22="","*","")</f>
        <v/>
      </c>
      <c r="D22" s="39" t="s">
        <v>13</v>
      </c>
      <c r="E22" s="923" t="s">
        <v>14</v>
      </c>
      <c r="F22" s="923"/>
      <c r="G22" s="31"/>
      <c r="H22" s="22"/>
      <c r="I22" s="21"/>
      <c r="J22">
        <f t="shared" si="0"/>
        <v>0</v>
      </c>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row>
    <row r="23" spans="1:42" ht="22.9" customHeight="1" x14ac:dyDescent="0.2">
      <c r="A23" s="21"/>
      <c r="B23" s="22"/>
      <c r="C23" s="40"/>
      <c r="D23" s="23"/>
      <c r="E23" s="42"/>
      <c r="F23" s="23"/>
      <c r="G23" s="31"/>
      <c r="H23" s="22"/>
      <c r="I23" s="21"/>
      <c r="J23">
        <f t="shared" si="0"/>
        <v>0</v>
      </c>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row>
    <row r="24" spans="1:42" ht="22.9" customHeight="1" x14ac:dyDescent="0.2">
      <c r="A24" s="21"/>
      <c r="B24" s="22"/>
      <c r="C24" s="34" t="str">
        <f>IF(E24="","*","")</f>
        <v/>
      </c>
      <c r="D24" s="39" t="s">
        <v>15</v>
      </c>
      <c r="E24" s="923">
        <v>23456</v>
      </c>
      <c r="F24" s="923"/>
      <c r="G24" s="31"/>
      <c r="H24" s="22"/>
      <c r="I24" s="21"/>
      <c r="J24">
        <f t="shared" si="0"/>
        <v>0</v>
      </c>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row>
    <row r="25" spans="1:42" ht="22.9" customHeight="1" x14ac:dyDescent="0.2">
      <c r="A25" s="21"/>
      <c r="B25" s="22"/>
      <c r="C25" s="40"/>
      <c r="D25" s="23"/>
      <c r="E25" s="23"/>
      <c r="F25" s="23"/>
      <c r="G25" s="31"/>
      <c r="H25" s="22"/>
      <c r="I25" s="21"/>
      <c r="J25">
        <f t="shared" si="0"/>
        <v>0</v>
      </c>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42" ht="22.9" customHeight="1" x14ac:dyDescent="0.2">
      <c r="A26" s="21"/>
      <c r="B26" s="22"/>
      <c r="C26" s="34" t="str">
        <f>IF(E26="","*","")</f>
        <v/>
      </c>
      <c r="D26" s="43" t="s">
        <v>16</v>
      </c>
      <c r="E26" s="923" t="s">
        <v>17</v>
      </c>
      <c r="F26" s="923"/>
      <c r="G26" s="31"/>
      <c r="H26" s="22"/>
      <c r="I26" s="21"/>
      <c r="J26">
        <f t="shared" si="0"/>
        <v>0</v>
      </c>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row>
    <row r="27" spans="1:42" ht="25.9" customHeight="1" x14ac:dyDescent="0.2">
      <c r="A27" s="21"/>
      <c r="B27" s="22"/>
      <c r="C27" s="40"/>
      <c r="D27" s="23"/>
      <c r="E27" s="23"/>
      <c r="F27" s="23"/>
      <c r="G27" s="31"/>
      <c r="H27" s="22"/>
      <c r="I27" s="21"/>
      <c r="J27">
        <f t="shared" si="0"/>
        <v>0</v>
      </c>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row>
    <row r="28" spans="1:42" ht="25.9" customHeight="1" x14ac:dyDescent="0.2">
      <c r="A28" s="21"/>
      <c r="B28" s="22"/>
      <c r="C28" s="34" t="str">
        <f>IF(F28="","*","")</f>
        <v/>
      </c>
      <c r="D28" s="924" t="s">
        <v>18</v>
      </c>
      <c r="E28" s="924"/>
      <c r="F28" s="44">
        <v>30.81</v>
      </c>
      <c r="G28" s="31"/>
      <c r="H28" s="22"/>
      <c r="I28" s="21"/>
      <c r="J28">
        <f t="shared" si="0"/>
        <v>0</v>
      </c>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row>
    <row r="29" spans="1:42" ht="26.1" customHeight="1" x14ac:dyDescent="0.2">
      <c r="A29" s="21"/>
      <c r="B29" s="22"/>
      <c r="C29" s="40"/>
      <c r="D29" s="23"/>
      <c r="E29" s="23"/>
      <c r="F29" s="23"/>
      <c r="G29" s="31"/>
      <c r="H29" s="22"/>
      <c r="I29" s="21"/>
      <c r="J29">
        <f t="shared" si="0"/>
        <v>0</v>
      </c>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row>
    <row r="30" spans="1:42" ht="25.35" customHeight="1" x14ac:dyDescent="0.2">
      <c r="A30" s="21"/>
      <c r="B30" s="22"/>
      <c r="C30" s="34" t="str">
        <f>IF(F30="","*","")</f>
        <v/>
      </c>
      <c r="D30" s="924" t="s">
        <v>19</v>
      </c>
      <c r="E30" s="924"/>
      <c r="F30" s="44">
        <v>0.96</v>
      </c>
      <c r="G30" s="31"/>
      <c r="H30" s="22"/>
      <c r="I30" s="21"/>
      <c r="J30">
        <f t="shared" si="0"/>
        <v>0</v>
      </c>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row>
    <row r="31" spans="1:42" x14ac:dyDescent="0.2">
      <c r="A31" s="21"/>
      <c r="B31" s="22"/>
      <c r="C31" s="40"/>
      <c r="D31" s="23"/>
      <c r="E31" s="23"/>
      <c r="F31" s="23"/>
      <c r="G31" s="31"/>
      <c r="H31" s="22"/>
      <c r="I31" s="21"/>
      <c r="J31">
        <f>SUM(J12:J30)</f>
        <v>0</v>
      </c>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2" spans="1:42" x14ac:dyDescent="0.2">
      <c r="A32" s="21"/>
      <c r="B32" s="22"/>
      <c r="C32" s="30"/>
      <c r="D32" s="23"/>
      <c r="E32" s="45"/>
      <c r="F32" s="23"/>
      <c r="G32" s="31"/>
      <c r="H32" s="22"/>
      <c r="I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row>
    <row r="33" spans="1:42" x14ac:dyDescent="0.2">
      <c r="A33" s="21"/>
      <c r="B33" s="22"/>
      <c r="C33" s="46"/>
      <c r="D33" s="925" t="s">
        <v>20</v>
      </c>
      <c r="E33" s="925"/>
      <c r="F33" s="925"/>
      <c r="G33" s="31"/>
      <c r="H33" s="22"/>
      <c r="I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row>
    <row r="34" spans="1:42" x14ac:dyDescent="0.2">
      <c r="A34" s="21"/>
      <c r="B34" s="22"/>
      <c r="C34" s="47"/>
      <c r="D34" s="48"/>
      <c r="E34" s="48"/>
      <c r="F34" s="48"/>
      <c r="G34" s="49"/>
      <c r="H34" s="22"/>
      <c r="I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21"/>
      <c r="AI35" s="21"/>
      <c r="AJ35" s="21"/>
      <c r="AK35" s="21"/>
      <c r="AL35" s="21"/>
      <c r="AM35" s="21"/>
      <c r="AN35" s="21"/>
      <c r="AO35" s="21"/>
      <c r="AP35" s="21"/>
    </row>
    <row r="36" spans="1:42" x14ac:dyDescent="0.2">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21"/>
      <c r="AI36" s="21"/>
      <c r="AJ36" s="21"/>
      <c r="AK36" s="21"/>
      <c r="AL36" s="21"/>
      <c r="AM36" s="21"/>
      <c r="AN36" s="21"/>
      <c r="AO36" s="21"/>
      <c r="AP36" s="21"/>
    </row>
    <row r="37" spans="1:42"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21"/>
      <c r="AI37" s="21"/>
      <c r="AJ37" s="21"/>
      <c r="AK37" s="21"/>
      <c r="AL37" s="21"/>
      <c r="AM37" s="21"/>
      <c r="AN37" s="21"/>
      <c r="AO37" s="21"/>
      <c r="AP37" s="21"/>
    </row>
    <row r="38" spans="1:42" x14ac:dyDescent="0.2">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21"/>
      <c r="AI38" s="21"/>
      <c r="AJ38" s="21"/>
      <c r="AK38" s="21"/>
      <c r="AL38" s="21"/>
      <c r="AM38" s="21"/>
      <c r="AN38" s="21"/>
      <c r="AO38" s="21"/>
      <c r="AP38" s="21"/>
    </row>
    <row r="39" spans="1:42" x14ac:dyDescent="0.2">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21"/>
      <c r="AI39" s="21"/>
      <c r="AJ39" s="21"/>
      <c r="AK39" s="21"/>
      <c r="AL39" s="21"/>
      <c r="AM39" s="21"/>
      <c r="AN39" s="21"/>
      <c r="AO39" s="21"/>
      <c r="AP39" s="21"/>
    </row>
    <row r="40" spans="1:42" x14ac:dyDescent="0.2">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21"/>
      <c r="AI40" s="21"/>
      <c r="AJ40" s="21"/>
      <c r="AK40" s="21"/>
      <c r="AL40" s="21"/>
      <c r="AM40" s="21"/>
      <c r="AN40" s="21"/>
      <c r="AO40" s="21"/>
      <c r="AP40" s="21"/>
    </row>
    <row r="41" spans="1:42" x14ac:dyDescent="0.2">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21"/>
      <c r="AI41" s="21"/>
      <c r="AJ41" s="21"/>
      <c r="AK41" s="21"/>
      <c r="AL41" s="21"/>
      <c r="AM41" s="21"/>
      <c r="AN41" s="21"/>
      <c r="AO41" s="21"/>
      <c r="AP41" s="21"/>
    </row>
    <row r="42" spans="1:42" x14ac:dyDescent="0.2">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21"/>
      <c r="AI42" s="21"/>
      <c r="AJ42" s="21"/>
      <c r="AK42" s="21"/>
      <c r="AL42" s="21"/>
      <c r="AM42" s="21"/>
      <c r="AN42" s="21"/>
      <c r="AO42" s="21"/>
      <c r="AP42" s="21"/>
    </row>
    <row r="43" spans="1:42"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21"/>
      <c r="AI43" s="21"/>
      <c r="AJ43" s="21"/>
      <c r="AK43" s="21"/>
      <c r="AL43" s="21"/>
      <c r="AM43" s="21"/>
      <c r="AN43" s="21"/>
      <c r="AO43" s="21"/>
      <c r="AP43" s="21"/>
    </row>
    <row r="44" spans="1:42" x14ac:dyDescent="0.2">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21"/>
      <c r="AI44" s="21"/>
      <c r="AJ44" s="21"/>
      <c r="AK44" s="21"/>
      <c r="AL44" s="21"/>
      <c r="AM44" s="21"/>
      <c r="AN44" s="21"/>
      <c r="AO44" s="21"/>
      <c r="AP44" s="21"/>
    </row>
    <row r="45" spans="1:42"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21"/>
      <c r="AI45" s="21"/>
      <c r="AJ45" s="21"/>
      <c r="AK45" s="21"/>
      <c r="AL45" s="21"/>
      <c r="AM45" s="21"/>
      <c r="AN45" s="21"/>
      <c r="AO45" s="21"/>
      <c r="AP45" s="21"/>
    </row>
    <row r="46" spans="1:42"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21"/>
      <c r="AI46" s="21"/>
      <c r="AJ46" s="21"/>
      <c r="AK46" s="21"/>
      <c r="AL46" s="21"/>
      <c r="AM46" s="21"/>
      <c r="AN46" s="21"/>
      <c r="AO46" s="21"/>
      <c r="AP46" s="21"/>
    </row>
    <row r="47" spans="1:42"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21"/>
      <c r="AI47" s="21"/>
      <c r="AJ47" s="21"/>
      <c r="AK47" s="21"/>
      <c r="AL47" s="21"/>
      <c r="AM47" s="21"/>
      <c r="AN47" s="21"/>
      <c r="AO47" s="21"/>
      <c r="AP47" s="21"/>
    </row>
    <row r="48" spans="1:42"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21"/>
      <c r="AI48" s="21"/>
      <c r="AJ48" s="21"/>
      <c r="AK48" s="21"/>
      <c r="AL48" s="21"/>
      <c r="AM48" s="21"/>
      <c r="AN48" s="21"/>
      <c r="AO48" s="21"/>
      <c r="AP48" s="21"/>
    </row>
    <row r="49" spans="1:42"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21"/>
      <c r="AI49" s="21"/>
      <c r="AJ49" s="21"/>
      <c r="AK49" s="21"/>
      <c r="AL49" s="21"/>
      <c r="AM49" s="21"/>
      <c r="AN49" s="21"/>
      <c r="AO49" s="21"/>
      <c r="AP49" s="21"/>
    </row>
    <row r="50" spans="1:42"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21"/>
      <c r="AI50" s="21"/>
      <c r="AJ50" s="21"/>
      <c r="AK50" s="21"/>
      <c r="AL50" s="21"/>
      <c r="AM50" s="21"/>
      <c r="AN50" s="21"/>
      <c r="AO50" s="21"/>
      <c r="AP50" s="21"/>
    </row>
    <row r="51" spans="1:42"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21"/>
      <c r="AI51" s="21"/>
      <c r="AJ51" s="21"/>
      <c r="AK51" s="21"/>
      <c r="AL51" s="21"/>
      <c r="AM51" s="21"/>
      <c r="AN51" s="21"/>
      <c r="AO51" s="21"/>
      <c r="AP51" s="21"/>
    </row>
    <row r="52" spans="1:42"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21"/>
      <c r="AI52" s="21"/>
      <c r="AJ52" s="21"/>
      <c r="AK52" s="21"/>
      <c r="AL52" s="21"/>
      <c r="AM52" s="21"/>
      <c r="AN52" s="21"/>
      <c r="AO52" s="21"/>
      <c r="AP52" s="21"/>
    </row>
    <row r="53" spans="1:42"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21"/>
      <c r="AI53" s="21"/>
      <c r="AJ53" s="21"/>
      <c r="AK53" s="21"/>
      <c r="AL53" s="21"/>
      <c r="AM53" s="21"/>
      <c r="AN53" s="21"/>
      <c r="AO53" s="21"/>
      <c r="AP53" s="21"/>
    </row>
    <row r="54" spans="1:42"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21"/>
      <c r="AI54" s="21"/>
      <c r="AJ54" s="21"/>
      <c r="AK54" s="21"/>
      <c r="AL54" s="21"/>
      <c r="AM54" s="21"/>
      <c r="AN54" s="21"/>
      <c r="AO54" s="21"/>
      <c r="AP54" s="21"/>
    </row>
    <row r="55" spans="1:42"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21"/>
      <c r="AI55" s="21"/>
      <c r="AJ55" s="21"/>
      <c r="AK55" s="21"/>
      <c r="AL55" s="21"/>
      <c r="AM55" s="21"/>
      <c r="AN55" s="21"/>
      <c r="AO55" s="21"/>
      <c r="AP55" s="21"/>
    </row>
    <row r="56" spans="1:42"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21"/>
      <c r="AI56" s="21"/>
      <c r="AJ56" s="21"/>
      <c r="AK56" s="21"/>
      <c r="AL56" s="21"/>
      <c r="AM56" s="21"/>
      <c r="AN56" s="21"/>
      <c r="AO56" s="21"/>
      <c r="AP56" s="21"/>
    </row>
    <row r="57" spans="1:42"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21"/>
      <c r="AI57" s="21"/>
      <c r="AJ57" s="21"/>
      <c r="AK57" s="21"/>
      <c r="AL57" s="21"/>
      <c r="AM57" s="21"/>
      <c r="AN57" s="21"/>
      <c r="AO57" s="21"/>
      <c r="AP57" s="21"/>
    </row>
    <row r="58" spans="1:42"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21"/>
      <c r="AI58" s="21"/>
      <c r="AJ58" s="21"/>
      <c r="AK58" s="21"/>
      <c r="AL58" s="21"/>
      <c r="AM58" s="21"/>
      <c r="AN58" s="21"/>
      <c r="AO58" s="21"/>
      <c r="AP58" s="21"/>
    </row>
    <row r="59" spans="1:42"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21"/>
      <c r="AI59" s="21"/>
      <c r="AJ59" s="21"/>
      <c r="AK59" s="21"/>
      <c r="AL59" s="21"/>
      <c r="AM59" s="21"/>
      <c r="AN59" s="21"/>
      <c r="AO59" s="21"/>
      <c r="AP59" s="21"/>
    </row>
    <row r="60" spans="1:42"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21"/>
      <c r="AI60" s="21"/>
      <c r="AJ60" s="21"/>
      <c r="AK60" s="21"/>
      <c r="AL60" s="21"/>
      <c r="AM60" s="21"/>
      <c r="AN60" s="21"/>
      <c r="AO60" s="21"/>
      <c r="AP60" s="21"/>
    </row>
    <row r="61" spans="1:42"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21"/>
      <c r="AI61" s="21"/>
      <c r="AJ61" s="21"/>
      <c r="AK61" s="21"/>
      <c r="AL61" s="21"/>
      <c r="AM61" s="21"/>
      <c r="AN61" s="21"/>
      <c r="AO61" s="21"/>
      <c r="AP61" s="21"/>
    </row>
    <row r="62" spans="1:42"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21"/>
      <c r="AI62" s="21"/>
      <c r="AJ62" s="21"/>
      <c r="AK62" s="21"/>
      <c r="AL62" s="21"/>
      <c r="AM62" s="21"/>
      <c r="AN62" s="21"/>
      <c r="AO62" s="21"/>
      <c r="AP62" s="21"/>
    </row>
    <row r="63" spans="1:42"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21"/>
      <c r="AI63" s="21"/>
      <c r="AJ63" s="21"/>
      <c r="AK63" s="21"/>
      <c r="AL63" s="21"/>
      <c r="AM63" s="21"/>
      <c r="AN63" s="21"/>
      <c r="AO63" s="21"/>
      <c r="AP63" s="21"/>
    </row>
    <row r="64" spans="1:42"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21"/>
      <c r="AI64" s="21"/>
      <c r="AJ64" s="21"/>
      <c r="AK64" s="21"/>
      <c r="AL64" s="21"/>
      <c r="AM64" s="21"/>
      <c r="AN64" s="21"/>
      <c r="AO64" s="21"/>
      <c r="AP64" s="21"/>
    </row>
    <row r="65" spans="1:42"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21"/>
      <c r="AI65" s="21"/>
      <c r="AJ65" s="21"/>
      <c r="AK65" s="21"/>
      <c r="AL65" s="21"/>
      <c r="AM65" s="21"/>
      <c r="AN65" s="21"/>
      <c r="AO65" s="21"/>
      <c r="AP65" s="21"/>
    </row>
    <row r="66" spans="1:42"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21"/>
      <c r="AI66" s="21"/>
      <c r="AJ66" s="21"/>
      <c r="AK66" s="21"/>
      <c r="AL66" s="21"/>
      <c r="AM66" s="21"/>
      <c r="AN66" s="21"/>
      <c r="AO66" s="21"/>
      <c r="AP66" s="21"/>
    </row>
    <row r="67" spans="1:42"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21"/>
      <c r="AI67" s="21"/>
      <c r="AJ67" s="21"/>
      <c r="AK67" s="21"/>
      <c r="AL67" s="21"/>
      <c r="AM67" s="21"/>
      <c r="AN67" s="21"/>
      <c r="AO67" s="21"/>
      <c r="AP67" s="21"/>
    </row>
    <row r="68" spans="1:42"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21"/>
      <c r="AI68" s="21"/>
      <c r="AJ68" s="21"/>
      <c r="AK68" s="21"/>
      <c r="AL68" s="21"/>
      <c r="AM68" s="21"/>
      <c r="AN68" s="21"/>
      <c r="AO68" s="21"/>
      <c r="AP68" s="21"/>
    </row>
    <row r="69" spans="1:42"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21"/>
      <c r="AI69" s="21"/>
      <c r="AJ69" s="21"/>
      <c r="AK69" s="21"/>
      <c r="AL69" s="21"/>
      <c r="AM69" s="21"/>
      <c r="AN69" s="21"/>
      <c r="AO69" s="21"/>
      <c r="AP69" s="21"/>
    </row>
    <row r="70" spans="1:42"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21"/>
      <c r="AI70" s="21"/>
      <c r="AJ70" s="21"/>
      <c r="AK70" s="21"/>
      <c r="AL70" s="21"/>
      <c r="AM70" s="21"/>
      <c r="AN70" s="21"/>
      <c r="AO70" s="21"/>
      <c r="AP70" s="21"/>
    </row>
    <row r="71" spans="1:42"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21"/>
      <c r="AI71" s="21"/>
      <c r="AJ71" s="21"/>
      <c r="AK71" s="21"/>
      <c r="AL71" s="21"/>
      <c r="AM71" s="21"/>
      <c r="AN71" s="21"/>
      <c r="AO71" s="21"/>
      <c r="AP71" s="21"/>
    </row>
    <row r="72" spans="1:42"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21"/>
      <c r="AI72" s="21"/>
      <c r="AJ72" s="21"/>
      <c r="AK72" s="21"/>
      <c r="AL72" s="21"/>
      <c r="AM72" s="21"/>
      <c r="AN72" s="21"/>
      <c r="AO72" s="21"/>
      <c r="AP72" s="21"/>
    </row>
    <row r="73" spans="1:42" x14ac:dyDescent="0.2">
      <c r="A73" s="50"/>
      <c r="B73" s="50"/>
      <c r="C73" s="50"/>
      <c r="D73" s="50"/>
      <c r="E73" s="50"/>
      <c r="F73" s="50"/>
      <c r="G73" s="50"/>
      <c r="H73" s="50"/>
      <c r="I73" s="50"/>
      <c r="J73" s="50"/>
      <c r="K73" s="50"/>
      <c r="L73" s="50"/>
      <c r="M73" s="50"/>
      <c r="N73" s="50"/>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row>
    <row r="74" spans="1:42" x14ac:dyDescent="0.2">
      <c r="A74" s="50"/>
      <c r="B74" s="50"/>
      <c r="C74" s="50"/>
      <c r="D74" s="50"/>
      <c r="E74" s="50"/>
      <c r="F74" s="50"/>
      <c r="G74" s="50"/>
      <c r="H74" s="50"/>
      <c r="I74" s="50"/>
      <c r="J74" s="50"/>
      <c r="K74" s="50"/>
      <c r="L74" s="50"/>
      <c r="M74" s="50"/>
      <c r="N74" s="50"/>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row>
    <row r="75" spans="1:42" x14ac:dyDescent="0.2">
      <c r="A75" s="50"/>
      <c r="B75" s="50"/>
      <c r="C75" s="50"/>
      <c r="D75" s="50"/>
      <c r="E75" s="50"/>
      <c r="F75" s="50"/>
      <c r="G75" s="50"/>
      <c r="H75" s="50"/>
      <c r="I75" s="50"/>
      <c r="J75" s="50"/>
      <c r="K75" s="50"/>
      <c r="L75" s="50"/>
      <c r="M75" s="50"/>
      <c r="N75" s="50"/>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row>
    <row r="76" spans="1:42" x14ac:dyDescent="0.2">
      <c r="A76" s="51"/>
      <c r="B76" s="50"/>
      <c r="C76" s="50"/>
      <c r="D76" s="50"/>
      <c r="E76" s="50"/>
      <c r="F76" s="50"/>
      <c r="G76" s="50"/>
      <c r="H76" s="51"/>
      <c r="I76" s="50"/>
      <c r="J76" s="50"/>
      <c r="K76" s="50"/>
      <c r="L76" s="50"/>
      <c r="M76" s="50"/>
      <c r="N76" s="50"/>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row>
  </sheetData>
  <sheetProtection password="80D2" sheet="1" objects="1" scenarios="1"/>
  <mergeCells count="17">
    <mergeCell ref="D30:E30"/>
    <mergeCell ref="D33:F33"/>
    <mergeCell ref="E20:F20"/>
    <mergeCell ref="E22:F22"/>
    <mergeCell ref="E24:F24"/>
    <mergeCell ref="E26:F26"/>
    <mergeCell ref="D28:E28"/>
    <mergeCell ref="D11:F11"/>
    <mergeCell ref="E12:F12"/>
    <mergeCell ref="E14:F14"/>
    <mergeCell ref="E15:F15"/>
    <mergeCell ref="E18:F18"/>
    <mergeCell ref="E4:F4"/>
    <mergeCell ref="E5:F5"/>
    <mergeCell ref="C6:G6"/>
    <mergeCell ref="C8:G8"/>
    <mergeCell ref="C10:G10"/>
  </mergeCells>
  <pageMargins left="0.39370078740157483" right="0" top="0.98425196850393704" bottom="0.39370078740157483" header="0.51181102362204722" footer="0.51181102362204722"/>
  <pageSetup paperSize="9" scale="95" orientation="portrait" useFirstPageNumber="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312"/>
  <sheetViews>
    <sheetView showGridLines="0" showRowColHeaders="0" zoomScaleNormal="100" workbookViewId="0">
      <pane xSplit="3" ySplit="5" topLeftCell="D6" activePane="bottomRight" state="frozen"/>
      <selection pane="topRight" activeCell="D1" sqref="D1"/>
      <selection pane="bottomLeft" activeCell="A6" sqref="A6"/>
      <selection pane="bottomRight" activeCell="G263" sqref="G263"/>
    </sheetView>
  </sheetViews>
  <sheetFormatPr baseColWidth="10" defaultColWidth="9.140625" defaultRowHeight="12.75" x14ac:dyDescent="0.2"/>
  <cols>
    <col min="1" max="1" width="6.28515625" style="51"/>
    <col min="2" max="2" width="3.140625" style="51"/>
    <col min="3" max="3" width="0" style="51" hidden="1"/>
    <col min="4" max="4" width="35.85546875" style="52"/>
    <col min="5" max="6" width="8.7109375" style="52"/>
    <col min="7" max="7" width="14.7109375" style="52"/>
    <col min="8" max="8" width="8.5703125" style="52"/>
    <col min="9" max="9" width="7.42578125" style="52"/>
    <col min="10" max="11" width="10.7109375" style="52"/>
    <col min="12" max="12" width="0" style="52" hidden="1"/>
    <col min="13" max="15" width="10.7109375" style="52"/>
    <col min="16" max="16" width="10.85546875" style="52"/>
    <col min="17" max="17" width="0" style="52" hidden="1"/>
    <col min="18" max="18" width="2.85546875" style="51"/>
    <col min="19" max="32" width="0" style="50" hidden="1"/>
    <col min="33" max="63" width="11.7109375" style="50"/>
    <col min="64" max="257" width="11.7109375" style="51"/>
    <col min="258" max="1025" width="11.7109375"/>
  </cols>
  <sheetData>
    <row r="1" spans="1:30" ht="26.25" customHeight="1" x14ac:dyDescent="0.2">
      <c r="A1" s="50"/>
      <c r="B1" s="50"/>
      <c r="C1" s="50"/>
      <c r="D1" s="53"/>
      <c r="E1" s="53"/>
      <c r="F1" s="53"/>
      <c r="G1" s="53"/>
      <c r="H1" s="53"/>
      <c r="I1" s="53"/>
      <c r="J1" s="53"/>
      <c r="K1" s="53"/>
      <c r="L1" s="53"/>
      <c r="M1" s="53"/>
      <c r="N1" s="53"/>
      <c r="O1" s="53"/>
      <c r="P1" s="53"/>
      <c r="Q1" s="53"/>
      <c r="R1" s="50"/>
    </row>
    <row r="2" spans="1:30" ht="13.7" customHeight="1" x14ac:dyDescent="0.25">
      <c r="A2" s="50"/>
      <c r="B2" s="54" t="str">
        <f>IF(SUM(U2:Y2)&gt;0,"*","")</f>
        <v/>
      </c>
      <c r="C2" s="55"/>
      <c r="D2" s="56"/>
      <c r="E2" s="56"/>
      <c r="F2" s="56"/>
      <c r="G2" s="57"/>
      <c r="H2" s="58"/>
      <c r="I2" s="59"/>
      <c r="J2" s="59"/>
      <c r="K2" s="59"/>
      <c r="L2" s="55"/>
      <c r="M2" s="60"/>
      <c r="N2" s="61"/>
      <c r="O2" s="61"/>
      <c r="P2" s="62"/>
      <c r="Q2" s="63"/>
      <c r="R2" s="55"/>
    </row>
    <row r="3" spans="1:30" ht="25.15" customHeight="1" x14ac:dyDescent="0.2">
      <c r="A3" s="50"/>
      <c r="B3" s="54" t="str">
        <f>IF(SUM(U3:Y3)&gt;0,"*","")</f>
        <v/>
      </c>
      <c r="C3" s="64"/>
      <c r="D3" s="926" t="s">
        <v>21</v>
      </c>
      <c r="E3" s="926"/>
      <c r="F3" s="926"/>
      <c r="G3" s="926"/>
      <c r="H3" s="926"/>
      <c r="I3" s="926"/>
      <c r="J3" s="926"/>
      <c r="K3" s="926"/>
      <c r="L3" s="65" t="s">
        <v>22</v>
      </c>
      <c r="M3" s="927" t="str">
        <f>IF(Betrieb!E14&lt;&gt;"","Jahr","Wirtschaftsjahr")</f>
        <v>Wirtschaftsjahr</v>
      </c>
      <c r="N3" s="927"/>
      <c r="O3" s="1">
        <f>IF(Betrieb!$E$14&lt;&gt;"",Betrieb!$E$14,Betrieb!E16)</f>
        <v>2018</v>
      </c>
      <c r="P3" s="66">
        <f>IF(Betrieb!E14&lt;&gt;"","",Betrieb!$F$16)</f>
        <v>2019</v>
      </c>
      <c r="Q3" s="63"/>
      <c r="R3" s="55"/>
    </row>
    <row r="4" spans="1:30" ht="23.25" customHeight="1" x14ac:dyDescent="0.2">
      <c r="A4" s="50"/>
      <c r="B4" s="54" t="str">
        <f>IF(SUM(U4:Y4)&gt;0,"*","")</f>
        <v/>
      </c>
      <c r="C4" s="67"/>
      <c r="D4" s="68" t="str">
        <f>CONCATENATE("Betrieb: ",Betrieb!$E$20," ",Betrieb!$E$18,", ",Betrieb!$E$26)</f>
        <v>Betrieb: Oliver Mustermann, Musterdorf</v>
      </c>
      <c r="E4" s="69"/>
      <c r="F4" s="69"/>
      <c r="G4" s="69"/>
      <c r="H4" s="69"/>
      <c r="I4" s="69"/>
      <c r="J4" s="69"/>
      <c r="K4" s="69"/>
      <c r="L4" s="70" t="s">
        <v>23</v>
      </c>
      <c r="M4" s="71" t="s">
        <v>24</v>
      </c>
      <c r="N4" s="928">
        <f ca="1">TODAY()</f>
        <v>43909</v>
      </c>
      <c r="O4" s="928"/>
      <c r="P4" s="928"/>
      <c r="Q4" s="63"/>
      <c r="R4" s="55"/>
    </row>
    <row r="5" spans="1:30" ht="19.5" customHeight="1" x14ac:dyDescent="0.2">
      <c r="A5" s="50"/>
      <c r="B5" s="54" t="str">
        <f>IF(SUM(U5:Y5)&gt;0,"*","")</f>
        <v/>
      </c>
      <c r="C5" s="72"/>
      <c r="D5" s="929" t="str">
        <f>IF(T105&gt;0,"",IF(W106&gt;0,"Achtung: Es fehlen Angaben im Blatt Daten!!!. Fehlende sind mit Stern markiert.","Achtung: Sie können alle Lieferungen einer Ware zusammenfassen, Durchschnittswerte ermitteln u. hier eintragen."))</f>
        <v>Achtung: Sie können alle Lieferungen einer Ware zusammenfassen, Durchschnittswerte ermitteln u. hier eintragen.</v>
      </c>
      <c r="E5" s="929"/>
      <c r="F5" s="929"/>
      <c r="G5" s="929"/>
      <c r="H5" s="929"/>
      <c r="I5" s="929"/>
      <c r="J5" s="929"/>
      <c r="K5" s="929"/>
      <c r="L5" s="73"/>
      <c r="M5" s="930" t="s">
        <v>25</v>
      </c>
      <c r="N5" s="930"/>
      <c r="O5" s="930"/>
      <c r="P5" s="930"/>
      <c r="Q5" s="63"/>
      <c r="R5" s="55"/>
    </row>
    <row r="6" spans="1:30" ht="8.25" customHeight="1" x14ac:dyDescent="0.2">
      <c r="A6" s="50"/>
      <c r="B6" s="54"/>
      <c r="C6" s="72"/>
      <c r="D6" s="74"/>
      <c r="E6" s="75"/>
      <c r="F6" s="75"/>
      <c r="G6" s="75"/>
      <c r="H6" s="75"/>
      <c r="I6" s="75"/>
      <c r="J6" s="75"/>
      <c r="K6" s="75"/>
      <c r="L6" s="75"/>
      <c r="M6" s="75"/>
      <c r="N6" s="75"/>
      <c r="O6" s="75"/>
      <c r="P6" s="76"/>
      <c r="Q6" s="63"/>
      <c r="R6" s="55"/>
    </row>
    <row r="7" spans="1:30" ht="18" customHeight="1" x14ac:dyDescent="0.2">
      <c r="A7" s="50"/>
      <c r="B7" s="54" t="str">
        <f t="shared" ref="B7:B32" si="0">IF(SUM(U7:Y7)&gt;0,"*","")</f>
        <v/>
      </c>
      <c r="C7" s="77"/>
      <c r="D7" s="931" t="s">
        <v>26</v>
      </c>
      <c r="E7" s="931"/>
      <c r="F7" s="931"/>
      <c r="G7" s="931"/>
      <c r="H7" s="931"/>
      <c r="I7" s="931"/>
      <c r="J7" s="931"/>
      <c r="K7" s="931"/>
      <c r="L7" s="931"/>
      <c r="M7" s="931"/>
      <c r="N7" s="931"/>
      <c r="O7" s="931"/>
      <c r="P7" s="931"/>
      <c r="R7" s="55"/>
    </row>
    <row r="8" spans="1:30" ht="15" customHeight="1" x14ac:dyDescent="0.2">
      <c r="A8" s="50"/>
      <c r="B8" s="54" t="str">
        <f t="shared" si="0"/>
        <v/>
      </c>
      <c r="C8" s="78" t="s">
        <v>27</v>
      </c>
      <c r="D8" s="79"/>
      <c r="E8" s="80"/>
      <c r="F8" s="80"/>
      <c r="G8" s="932" t="s">
        <v>28</v>
      </c>
      <c r="H8" s="932"/>
      <c r="I8" s="932"/>
      <c r="J8" s="933" t="s">
        <v>29</v>
      </c>
      <c r="K8" s="933"/>
      <c r="L8" s="81"/>
      <c r="M8" s="934" t="s">
        <v>30</v>
      </c>
      <c r="N8" s="934"/>
      <c r="O8" s="934" t="s">
        <v>31</v>
      </c>
      <c r="P8" s="934"/>
      <c r="Q8" s="82">
        <f>jaehrliche_Bilanz_Stickstoff!I44</f>
        <v>0</v>
      </c>
      <c r="R8" s="67"/>
    </row>
    <row r="9" spans="1:30" ht="15" customHeight="1" x14ac:dyDescent="0.2">
      <c r="A9" s="50"/>
      <c r="B9" s="54" t="str">
        <f t="shared" si="0"/>
        <v/>
      </c>
      <c r="C9" s="83" t="s">
        <v>32</v>
      </c>
      <c r="D9" s="935" t="s">
        <v>33</v>
      </c>
      <c r="E9" s="935"/>
      <c r="F9" s="935"/>
      <c r="G9" s="84" t="s">
        <v>34</v>
      </c>
      <c r="H9" s="936" t="s">
        <v>35</v>
      </c>
      <c r="I9" s="936"/>
      <c r="J9" s="85" t="s">
        <v>36</v>
      </c>
      <c r="K9" s="86" t="s">
        <v>37</v>
      </c>
      <c r="L9" s="87" t="s">
        <v>38</v>
      </c>
      <c r="M9" s="88" t="s">
        <v>39</v>
      </c>
      <c r="N9" s="89" t="s">
        <v>40</v>
      </c>
      <c r="O9" s="88" t="s">
        <v>39</v>
      </c>
      <c r="P9" s="89" t="s">
        <v>40</v>
      </c>
      <c r="Q9" s="82">
        <f>jaehrliche_Bilanz_Stickstoff!J43</f>
        <v>0</v>
      </c>
      <c r="R9" s="67"/>
      <c r="T9" s="50" t="s">
        <v>41</v>
      </c>
      <c r="U9" s="937" t="s">
        <v>42</v>
      </c>
      <c r="V9" s="937"/>
      <c r="W9" s="937"/>
      <c r="X9" s="937"/>
      <c r="Y9" s="937"/>
      <c r="Z9" s="17" t="s">
        <v>43</v>
      </c>
      <c r="AA9" s="17" t="s">
        <v>44</v>
      </c>
      <c r="AB9" s="17" t="s">
        <v>45</v>
      </c>
      <c r="AC9" s="17" t="s">
        <v>46</v>
      </c>
      <c r="AD9" s="17" t="s">
        <v>47</v>
      </c>
    </row>
    <row r="10" spans="1:30" ht="15" customHeight="1" x14ac:dyDescent="0.2">
      <c r="A10" s="50"/>
      <c r="B10" s="54" t="str">
        <f t="shared" si="0"/>
        <v/>
      </c>
      <c r="C10" s="90">
        <f>IF(D10="","",VLOOKUP(D10,Daten!$CV$10:$CW$226,2,))</f>
        <v>4</v>
      </c>
      <c r="D10" s="938" t="s">
        <v>48</v>
      </c>
      <c r="E10" s="938"/>
      <c r="F10" s="938"/>
      <c r="G10" s="91">
        <v>5000</v>
      </c>
      <c r="H10" s="939">
        <v>2000</v>
      </c>
      <c r="I10" s="939"/>
      <c r="J10" s="92">
        <f>IF(C10="","",VLOOKUP(C10,Daten!$AW$9:$BD$221,6))</f>
        <v>2.21</v>
      </c>
      <c r="K10" s="92">
        <f>IF(C10="","",VLOOKUP(C10,Daten!$AW$9:$BD$221,7))</f>
        <v>1.04</v>
      </c>
      <c r="L10" s="93" t="e">
        <f>IF(C10="","",VLOOKUP(C10,Daten!$AW$9:$BD$221,9))</f>
        <v>#REF!</v>
      </c>
      <c r="M10" s="94">
        <f t="shared" ref="M10:M24" si="1">IF(C10="","",$G10*J10/100)</f>
        <v>110.5</v>
      </c>
      <c r="N10" s="95">
        <f t="shared" ref="N10:N24" si="2">IF(C10="","",$G10*K10/100)</f>
        <v>52</v>
      </c>
      <c r="O10" s="96">
        <f t="shared" ref="O10:O24" si="3">IF(C10="","",$H10*J10/100)</f>
        <v>44.2</v>
      </c>
      <c r="P10" s="95">
        <f t="shared" ref="P10:P24" si="4">IF(C10="","",$H10*K10/100)</f>
        <v>20.8</v>
      </c>
      <c r="R10" s="67"/>
      <c r="T10" s="17"/>
      <c r="Z10" s="97">
        <f t="shared" ref="Z10:Z24" si="5">IF($D$5&lt;&gt;"",0,IF(C10="","",IF(C10&lt;15,G10,"")))</f>
        <v>0</v>
      </c>
      <c r="AA10" s="97">
        <f t="shared" ref="AA10:AA24" si="6">IF($D$5&lt;&gt;"",0,IF(C10="","",IF(C10&gt;20,"",IF(C10&gt;14,G10,""))))</f>
        <v>0</v>
      </c>
      <c r="AB10" s="97">
        <f t="shared" ref="AB10:AB24" si="7">IF($D$5&lt;&gt;"",0,IF(C10="","",IF(C10&gt;28,"",IF(C10&gt;20,G10,""))))</f>
        <v>0</v>
      </c>
      <c r="AC10" s="97">
        <f t="shared" ref="AC10:AC24" si="8">IF($D$5&lt;&gt;"",0,IF(C10="","",IF(C10&gt;32,"",IF(C10&gt;28,G10,""))))</f>
        <v>0</v>
      </c>
      <c r="AD10" s="97">
        <f t="shared" ref="AD10:AD24" si="9">IF($D$5&lt;&gt;"",0,IF(C10="","",IF(C10&gt;38,"",IF(C10&gt;32,G10,""))))</f>
        <v>0</v>
      </c>
    </row>
    <row r="11" spans="1:30" ht="15" customHeight="1" x14ac:dyDescent="0.2">
      <c r="A11" s="50"/>
      <c r="B11" s="54" t="str">
        <f t="shared" si="0"/>
        <v/>
      </c>
      <c r="C11" s="98">
        <f>IF(D11="","",VLOOKUP(D11,Daten!$CV$10:$CW$226,2,))</f>
        <v>13</v>
      </c>
      <c r="D11" s="940" t="s">
        <v>49</v>
      </c>
      <c r="E11" s="940"/>
      <c r="F11" s="940"/>
      <c r="G11" s="99">
        <v>50000</v>
      </c>
      <c r="H11" s="941"/>
      <c r="I11" s="941"/>
      <c r="J11" s="92">
        <f>IF(C11="","",VLOOKUP(C11,Daten!$AW$9:$BD$221,6))</f>
        <v>2</v>
      </c>
      <c r="K11" s="92">
        <f>IF(C11="","",VLOOKUP(C11,Daten!$AW$9:$BD$221,7))</f>
        <v>1.01</v>
      </c>
      <c r="L11" s="93" t="e">
        <f>IF(C11="","",VLOOKUP(C11,Daten!$AW$9:$BD$221,9))</f>
        <v>#REF!</v>
      </c>
      <c r="M11" s="94">
        <f t="shared" si="1"/>
        <v>1000</v>
      </c>
      <c r="N11" s="95">
        <f t="shared" si="2"/>
        <v>505</v>
      </c>
      <c r="O11" s="96">
        <f t="shared" si="3"/>
        <v>0</v>
      </c>
      <c r="P11" s="95">
        <f t="shared" si="4"/>
        <v>0</v>
      </c>
      <c r="R11" s="67"/>
      <c r="T11" s="17"/>
      <c r="Z11" s="97">
        <f t="shared" si="5"/>
        <v>0</v>
      </c>
      <c r="AA11" s="97">
        <f t="shared" si="6"/>
        <v>0</v>
      </c>
      <c r="AB11" s="97">
        <f t="shared" si="7"/>
        <v>0</v>
      </c>
      <c r="AC11" s="97">
        <f t="shared" si="8"/>
        <v>0</v>
      </c>
      <c r="AD11" s="97">
        <f t="shared" si="9"/>
        <v>0</v>
      </c>
    </row>
    <row r="12" spans="1:30" ht="15" customHeight="1" x14ac:dyDescent="0.2">
      <c r="A12" s="50"/>
      <c r="B12" s="54" t="str">
        <f t="shared" si="0"/>
        <v/>
      </c>
      <c r="C12" s="98">
        <f>IF(D12="","",VLOOKUP(D12,Daten!$CV$10:$CW$226,2,))</f>
        <v>117</v>
      </c>
      <c r="D12" s="940" t="s">
        <v>50</v>
      </c>
      <c r="E12" s="940"/>
      <c r="F12" s="940"/>
      <c r="G12" s="99">
        <v>44000</v>
      </c>
      <c r="H12" s="941"/>
      <c r="I12" s="941"/>
      <c r="J12" s="92">
        <f>IF(C12="","",VLOOKUP(C12,Daten!$AW$9:$BD$221,6))</f>
        <v>2.8</v>
      </c>
      <c r="K12" s="92">
        <f>IF(C12="","",VLOOKUP(C12,Daten!$AW$9:$BD$221,7))</f>
        <v>0.87</v>
      </c>
      <c r="L12" s="93" t="e">
        <f>IF(C12="","",VLOOKUP(C12,Daten!$AW$9:$BD$221,9))</f>
        <v>#REF!</v>
      </c>
      <c r="M12" s="94">
        <f t="shared" si="1"/>
        <v>1231.9999999999998</v>
      </c>
      <c r="N12" s="95">
        <f t="shared" si="2"/>
        <v>382.8</v>
      </c>
      <c r="O12" s="96">
        <f t="shared" si="3"/>
        <v>0</v>
      </c>
      <c r="P12" s="95">
        <f t="shared" si="4"/>
        <v>0</v>
      </c>
      <c r="R12" s="67"/>
      <c r="T12" s="17"/>
      <c r="Z12" s="97">
        <f t="shared" si="5"/>
        <v>0</v>
      </c>
      <c r="AA12" s="97">
        <f t="shared" si="6"/>
        <v>0</v>
      </c>
      <c r="AB12" s="97">
        <f t="shared" si="7"/>
        <v>0</v>
      </c>
      <c r="AC12" s="97">
        <f t="shared" si="8"/>
        <v>0</v>
      </c>
      <c r="AD12" s="97">
        <f t="shared" si="9"/>
        <v>0</v>
      </c>
    </row>
    <row r="13" spans="1:30" ht="15" customHeight="1" x14ac:dyDescent="0.2">
      <c r="A13" s="50"/>
      <c r="B13" s="54" t="str">
        <f t="shared" si="0"/>
        <v/>
      </c>
      <c r="C13" s="98">
        <f>IF(D13="","",VLOOKUP(D13,Daten!$CV$10:$CW$226,2,))</f>
        <v>98</v>
      </c>
      <c r="D13" s="940" t="s">
        <v>751</v>
      </c>
      <c r="E13" s="940"/>
      <c r="F13" s="940"/>
      <c r="G13" s="99">
        <v>5000</v>
      </c>
      <c r="H13" s="941"/>
      <c r="I13" s="941"/>
      <c r="J13" s="92">
        <f>IF(C13="","",VLOOKUP(C13,Daten!$AW$9:$BD$221,6))</f>
        <v>0.47</v>
      </c>
      <c r="K13" s="92">
        <f>IF(C13="","",VLOOKUP(C13,Daten!$AW$9:$BD$221,7))</f>
        <v>0.18</v>
      </c>
      <c r="L13" s="93" t="e">
        <f>IF(C13="","",VLOOKUP(C13,Daten!$AW$9:$BD$221,9))</f>
        <v>#REF!</v>
      </c>
      <c r="M13" s="94">
        <f t="shared" si="1"/>
        <v>23.5</v>
      </c>
      <c r="N13" s="95">
        <f t="shared" si="2"/>
        <v>9</v>
      </c>
      <c r="O13" s="96">
        <f t="shared" si="3"/>
        <v>0</v>
      </c>
      <c r="P13" s="95">
        <f t="shared" si="4"/>
        <v>0</v>
      </c>
      <c r="R13" s="67"/>
      <c r="T13" s="17"/>
      <c r="Z13" s="97">
        <f t="shared" si="5"/>
        <v>0</v>
      </c>
      <c r="AA13" s="97">
        <f t="shared" si="6"/>
        <v>0</v>
      </c>
      <c r="AB13" s="97">
        <f t="shared" si="7"/>
        <v>0</v>
      </c>
      <c r="AC13" s="97">
        <f t="shared" si="8"/>
        <v>0</v>
      </c>
      <c r="AD13" s="97">
        <f t="shared" si="9"/>
        <v>0</v>
      </c>
    </row>
    <row r="14" spans="1:30" ht="15" customHeight="1" x14ac:dyDescent="0.2">
      <c r="A14" s="50"/>
      <c r="B14" s="54" t="str">
        <f t="shared" si="0"/>
        <v/>
      </c>
      <c r="C14" s="100">
        <f>IF(D14="","",VLOOKUP(D14,Daten!$CV$10:$CW$226,2,))</f>
        <v>47</v>
      </c>
      <c r="D14" s="942" t="s">
        <v>52</v>
      </c>
      <c r="E14" s="942"/>
      <c r="F14" s="942"/>
      <c r="G14" s="101"/>
      <c r="H14" s="943">
        <v>5000</v>
      </c>
      <c r="I14" s="943"/>
      <c r="J14" s="102">
        <f>IF(C14="","",VLOOKUP(C14,Daten!$AW$9:$BD$221,6))</f>
        <v>1.38</v>
      </c>
      <c r="K14" s="102">
        <f>IF(C14="","",VLOOKUP(C14,Daten!$AW$9:$BD$221,7))</f>
        <v>0.8</v>
      </c>
      <c r="L14" s="103" t="e">
        <f>IF(C14="","",VLOOKUP(C14,Daten!$AW$9:$BD$221,9))</f>
        <v>#REF!</v>
      </c>
      <c r="M14" s="104">
        <f t="shared" si="1"/>
        <v>0</v>
      </c>
      <c r="N14" s="105">
        <f t="shared" si="2"/>
        <v>0</v>
      </c>
      <c r="O14" s="106">
        <f t="shared" si="3"/>
        <v>68.999999999999986</v>
      </c>
      <c r="P14" s="105">
        <f t="shared" si="4"/>
        <v>40</v>
      </c>
      <c r="R14" s="67"/>
      <c r="T14" s="17"/>
      <c r="Z14" s="97">
        <f t="shared" si="5"/>
        <v>0</v>
      </c>
      <c r="AA14" s="97">
        <f t="shared" si="6"/>
        <v>0</v>
      </c>
      <c r="AB14" s="97">
        <f t="shared" si="7"/>
        <v>0</v>
      </c>
      <c r="AC14" s="97">
        <f t="shared" si="8"/>
        <v>0</v>
      </c>
      <c r="AD14" s="97">
        <f t="shared" si="9"/>
        <v>0</v>
      </c>
    </row>
    <row r="15" spans="1:30" ht="15" customHeight="1" x14ac:dyDescent="0.2">
      <c r="A15" s="50"/>
      <c r="B15" s="54" t="str">
        <f t="shared" si="0"/>
        <v/>
      </c>
      <c r="C15" s="98" t="str">
        <f>IF(D15="","",VLOOKUP(D15,Daten!$CV$10:$CW$226,2,))</f>
        <v/>
      </c>
      <c r="D15" s="940"/>
      <c r="E15" s="940"/>
      <c r="F15" s="940"/>
      <c r="G15" s="99"/>
      <c r="H15" s="941"/>
      <c r="I15" s="941"/>
      <c r="J15" s="92" t="str">
        <f>IF(C15="","",VLOOKUP(C15,Daten!$AW$9:$BD$221,6))</f>
        <v/>
      </c>
      <c r="K15" s="92" t="str">
        <f>IF(C15="","",VLOOKUP(C15,Daten!$AW$9:$BD$221,7))</f>
        <v/>
      </c>
      <c r="L15" s="93" t="str">
        <f>IF(C15="","",VLOOKUP(C15,Daten!$AW$9:$BD$221,9))</f>
        <v/>
      </c>
      <c r="M15" s="94" t="str">
        <f t="shared" si="1"/>
        <v/>
      </c>
      <c r="N15" s="95" t="str">
        <f t="shared" si="2"/>
        <v/>
      </c>
      <c r="O15" s="96" t="str">
        <f t="shared" si="3"/>
        <v/>
      </c>
      <c r="P15" s="95" t="str">
        <f t="shared" si="4"/>
        <v/>
      </c>
      <c r="R15" s="67"/>
      <c r="T15" s="17"/>
      <c r="Z15" s="97">
        <f t="shared" si="5"/>
        <v>0</v>
      </c>
      <c r="AA15" s="97">
        <f t="shared" si="6"/>
        <v>0</v>
      </c>
      <c r="AB15" s="97">
        <f t="shared" si="7"/>
        <v>0</v>
      </c>
      <c r="AC15" s="97">
        <f t="shared" si="8"/>
        <v>0</v>
      </c>
      <c r="AD15" s="97">
        <f t="shared" si="9"/>
        <v>0</v>
      </c>
    </row>
    <row r="16" spans="1:30" ht="15" customHeight="1" x14ac:dyDescent="0.2">
      <c r="A16" s="50"/>
      <c r="B16" s="54" t="str">
        <f t="shared" si="0"/>
        <v/>
      </c>
      <c r="C16" s="98" t="str">
        <f>IF(D16="","",VLOOKUP(D16,Daten!$CV$10:$CW$226,2,))</f>
        <v/>
      </c>
      <c r="D16" s="940"/>
      <c r="E16" s="940"/>
      <c r="F16" s="940"/>
      <c r="G16" s="99"/>
      <c r="H16" s="941"/>
      <c r="I16" s="941"/>
      <c r="J16" s="92" t="str">
        <f>IF(C16="","",VLOOKUP(C16,Daten!$AW$9:$BD$221,6))</f>
        <v/>
      </c>
      <c r="K16" s="92" t="str">
        <f>IF(C16="","",VLOOKUP(C16,Daten!$AW$9:$BD$221,7))</f>
        <v/>
      </c>
      <c r="L16" s="93" t="str">
        <f>IF(C16="","",VLOOKUP(C16,Daten!$AW$9:$BD$221,9))</f>
        <v/>
      </c>
      <c r="M16" s="94" t="str">
        <f t="shared" si="1"/>
        <v/>
      </c>
      <c r="N16" s="95" t="str">
        <f t="shared" si="2"/>
        <v/>
      </c>
      <c r="O16" s="96" t="str">
        <f t="shared" si="3"/>
        <v/>
      </c>
      <c r="P16" s="95" t="str">
        <f t="shared" si="4"/>
        <v/>
      </c>
      <c r="R16" s="67"/>
      <c r="T16" s="17"/>
      <c r="Z16" s="97">
        <f t="shared" si="5"/>
        <v>0</v>
      </c>
      <c r="AA16" s="97">
        <f t="shared" si="6"/>
        <v>0</v>
      </c>
      <c r="AB16" s="97">
        <f t="shared" si="7"/>
        <v>0</v>
      </c>
      <c r="AC16" s="97">
        <f t="shared" si="8"/>
        <v>0</v>
      </c>
      <c r="AD16" s="97">
        <f t="shared" si="9"/>
        <v>0</v>
      </c>
    </row>
    <row r="17" spans="1:30" ht="15" customHeight="1" x14ac:dyDescent="0.2">
      <c r="A17" s="50"/>
      <c r="B17" s="54" t="str">
        <f t="shared" si="0"/>
        <v/>
      </c>
      <c r="C17" s="98" t="str">
        <f>IF(D17="","",VLOOKUP(D17,Daten!$CV$10:$CW$226,2,))</f>
        <v/>
      </c>
      <c r="D17" s="940"/>
      <c r="E17" s="940"/>
      <c r="F17" s="940"/>
      <c r="G17" s="99"/>
      <c r="H17" s="941"/>
      <c r="I17" s="941"/>
      <c r="J17" s="92" t="str">
        <f>IF(C17="","",VLOOKUP(C17,Daten!$AW$9:$BD$221,6))</f>
        <v/>
      </c>
      <c r="K17" s="92" t="str">
        <f>IF(C17="","",VLOOKUP(C17,Daten!$AW$9:$BD$221,7))</f>
        <v/>
      </c>
      <c r="L17" s="93" t="str">
        <f>IF(C17="","",VLOOKUP(C17,Daten!$AW$9:$BD$221,9))</f>
        <v/>
      </c>
      <c r="M17" s="94" t="str">
        <f t="shared" si="1"/>
        <v/>
      </c>
      <c r="N17" s="95" t="str">
        <f t="shared" si="2"/>
        <v/>
      </c>
      <c r="O17" s="96" t="str">
        <f t="shared" si="3"/>
        <v/>
      </c>
      <c r="P17" s="95" t="str">
        <f t="shared" si="4"/>
        <v/>
      </c>
      <c r="R17" s="67"/>
      <c r="T17" s="17"/>
      <c r="Z17" s="97">
        <f t="shared" si="5"/>
        <v>0</v>
      </c>
      <c r="AA17" s="97">
        <f t="shared" si="6"/>
        <v>0</v>
      </c>
      <c r="AB17" s="97">
        <f t="shared" si="7"/>
        <v>0</v>
      </c>
      <c r="AC17" s="97">
        <f t="shared" si="8"/>
        <v>0</v>
      </c>
      <c r="AD17" s="97">
        <f t="shared" si="9"/>
        <v>0</v>
      </c>
    </row>
    <row r="18" spans="1:30" ht="15" customHeight="1" x14ac:dyDescent="0.2">
      <c r="A18" s="50"/>
      <c r="B18" s="54" t="str">
        <f t="shared" si="0"/>
        <v/>
      </c>
      <c r="C18" s="98" t="str">
        <f>IF(D18="","",VLOOKUP(D18,Daten!$CV$10:$CW$226,2,))</f>
        <v/>
      </c>
      <c r="D18" s="940"/>
      <c r="E18" s="940"/>
      <c r="F18" s="940"/>
      <c r="G18" s="99"/>
      <c r="H18" s="941"/>
      <c r="I18" s="941"/>
      <c r="J18" s="92" t="str">
        <f>IF(C18="","",VLOOKUP(C18,Daten!$AW$9:$BD$221,6))</f>
        <v/>
      </c>
      <c r="K18" s="92" t="str">
        <f>IF(C18="","",VLOOKUP(C18,Daten!$AW$9:$BD$221,7))</f>
        <v/>
      </c>
      <c r="L18" s="93" t="str">
        <f>IF(C18="","",VLOOKUP(C18,Daten!$AW$9:$BD$221,9))</f>
        <v/>
      </c>
      <c r="M18" s="94" t="str">
        <f t="shared" si="1"/>
        <v/>
      </c>
      <c r="N18" s="95" t="str">
        <f t="shared" si="2"/>
        <v/>
      </c>
      <c r="O18" s="96" t="str">
        <f t="shared" si="3"/>
        <v/>
      </c>
      <c r="P18" s="95" t="str">
        <f t="shared" si="4"/>
        <v/>
      </c>
      <c r="R18" s="67"/>
      <c r="T18" s="17"/>
      <c r="Z18" s="97">
        <f t="shared" si="5"/>
        <v>0</v>
      </c>
      <c r="AA18" s="97">
        <f t="shared" si="6"/>
        <v>0</v>
      </c>
      <c r="AB18" s="97">
        <f t="shared" si="7"/>
        <v>0</v>
      </c>
      <c r="AC18" s="97">
        <f t="shared" si="8"/>
        <v>0</v>
      </c>
      <c r="AD18" s="97">
        <f t="shared" si="9"/>
        <v>0</v>
      </c>
    </row>
    <row r="19" spans="1:30" ht="15" customHeight="1" x14ac:dyDescent="0.2">
      <c r="A19" s="50"/>
      <c r="B19" s="54" t="str">
        <f t="shared" si="0"/>
        <v/>
      </c>
      <c r="C19" s="100" t="str">
        <f>IF(D19="","",VLOOKUP(D19,Daten!$CV$10:$CW$226,2,))</f>
        <v/>
      </c>
      <c r="D19" s="942"/>
      <c r="E19" s="942"/>
      <c r="F19" s="942"/>
      <c r="G19" s="101"/>
      <c r="H19" s="943"/>
      <c r="I19" s="943"/>
      <c r="J19" s="102" t="str">
        <f>IF(C19="","",VLOOKUP(C19,Daten!$AW$9:$BD$221,6))</f>
        <v/>
      </c>
      <c r="K19" s="102" t="str">
        <f>IF(C19="","",VLOOKUP(C19,Daten!$AW$9:$BD$221,7))</f>
        <v/>
      </c>
      <c r="L19" s="103" t="str">
        <f>IF(C19="","",VLOOKUP(C19,Daten!$AW$9:$BD$221,9))</f>
        <v/>
      </c>
      <c r="M19" s="104" t="str">
        <f t="shared" si="1"/>
        <v/>
      </c>
      <c r="N19" s="105" t="str">
        <f t="shared" si="2"/>
        <v/>
      </c>
      <c r="O19" s="106" t="str">
        <f t="shared" si="3"/>
        <v/>
      </c>
      <c r="P19" s="105" t="str">
        <f t="shared" si="4"/>
        <v/>
      </c>
      <c r="R19" s="67"/>
      <c r="T19" s="17"/>
      <c r="Z19" s="97">
        <f t="shared" si="5"/>
        <v>0</v>
      </c>
      <c r="AA19" s="97">
        <f t="shared" si="6"/>
        <v>0</v>
      </c>
      <c r="AB19" s="97">
        <f t="shared" si="7"/>
        <v>0</v>
      </c>
      <c r="AC19" s="97">
        <f t="shared" si="8"/>
        <v>0</v>
      </c>
      <c r="AD19" s="97">
        <f t="shared" si="9"/>
        <v>0</v>
      </c>
    </row>
    <row r="20" spans="1:30" ht="15" customHeight="1" x14ac:dyDescent="0.2">
      <c r="A20" s="50"/>
      <c r="B20" s="54" t="str">
        <f t="shared" si="0"/>
        <v/>
      </c>
      <c r="C20" s="98" t="str">
        <f>IF(D20="","",VLOOKUP(D20,Daten!$CV$10:$CW$226,2,))</f>
        <v/>
      </c>
      <c r="D20" s="940"/>
      <c r="E20" s="940"/>
      <c r="F20" s="940"/>
      <c r="G20" s="99"/>
      <c r="H20" s="941"/>
      <c r="I20" s="941"/>
      <c r="J20" s="92" t="str">
        <f>IF(C20="","",VLOOKUP(C20,Daten!$AW$9:$BD$221,6))</f>
        <v/>
      </c>
      <c r="K20" s="92" t="str">
        <f>IF(C20="","",VLOOKUP(C20,Daten!$AW$9:$BD$221,7))</f>
        <v/>
      </c>
      <c r="L20" s="93" t="str">
        <f>IF(C20="","",VLOOKUP(C20,Daten!$AW$9:$BD$221,9))</f>
        <v/>
      </c>
      <c r="M20" s="94" t="str">
        <f t="shared" si="1"/>
        <v/>
      </c>
      <c r="N20" s="95" t="str">
        <f t="shared" si="2"/>
        <v/>
      </c>
      <c r="O20" s="96" t="str">
        <f t="shared" si="3"/>
        <v/>
      </c>
      <c r="P20" s="95" t="str">
        <f t="shared" si="4"/>
        <v/>
      </c>
      <c r="R20" s="67"/>
      <c r="T20" s="17"/>
      <c r="Z20" s="97">
        <f t="shared" si="5"/>
        <v>0</v>
      </c>
      <c r="AA20" s="97">
        <f t="shared" si="6"/>
        <v>0</v>
      </c>
      <c r="AB20" s="97">
        <f t="shared" si="7"/>
        <v>0</v>
      </c>
      <c r="AC20" s="97">
        <f t="shared" si="8"/>
        <v>0</v>
      </c>
      <c r="AD20" s="97">
        <f t="shared" si="9"/>
        <v>0</v>
      </c>
    </row>
    <row r="21" spans="1:30" ht="15" customHeight="1" x14ac:dyDescent="0.2">
      <c r="A21" s="50"/>
      <c r="B21" s="54" t="str">
        <f t="shared" si="0"/>
        <v/>
      </c>
      <c r="C21" s="98" t="str">
        <f>IF(D21="","",VLOOKUP(D21,Daten!$CV$10:$CW$226,2,))</f>
        <v/>
      </c>
      <c r="D21" s="940"/>
      <c r="E21" s="940"/>
      <c r="F21" s="940"/>
      <c r="G21" s="99"/>
      <c r="H21" s="941"/>
      <c r="I21" s="941"/>
      <c r="J21" s="92" t="str">
        <f>IF(C21="","",VLOOKUP(C21,Daten!$AW$9:$BD$221,6))</f>
        <v/>
      </c>
      <c r="K21" s="92" t="str">
        <f>IF(C21="","",VLOOKUP(C21,Daten!$AW$9:$BD$221,7))</f>
        <v/>
      </c>
      <c r="L21" s="93" t="str">
        <f>IF(C21="","",VLOOKUP(C21,Daten!$AW$9:$BD$221,9))</f>
        <v/>
      </c>
      <c r="M21" s="94" t="str">
        <f t="shared" si="1"/>
        <v/>
      </c>
      <c r="N21" s="95" t="str">
        <f t="shared" si="2"/>
        <v/>
      </c>
      <c r="O21" s="96" t="str">
        <f t="shared" si="3"/>
        <v/>
      </c>
      <c r="P21" s="95" t="str">
        <f t="shared" si="4"/>
        <v/>
      </c>
      <c r="R21" s="67"/>
      <c r="T21" s="17"/>
      <c r="Z21" s="97">
        <f t="shared" si="5"/>
        <v>0</v>
      </c>
      <c r="AA21" s="97">
        <f t="shared" si="6"/>
        <v>0</v>
      </c>
      <c r="AB21" s="97">
        <f t="shared" si="7"/>
        <v>0</v>
      </c>
      <c r="AC21" s="97">
        <f t="shared" si="8"/>
        <v>0</v>
      </c>
      <c r="AD21" s="97">
        <f t="shared" si="9"/>
        <v>0</v>
      </c>
    </row>
    <row r="22" spans="1:30" ht="15" customHeight="1" x14ac:dyDescent="0.2">
      <c r="A22" s="50"/>
      <c r="B22" s="54" t="str">
        <f t="shared" si="0"/>
        <v/>
      </c>
      <c r="C22" s="98" t="str">
        <f>IF(D22="","",VLOOKUP(D22,Daten!$CV$10:$CW$226,2,))</f>
        <v/>
      </c>
      <c r="D22" s="940"/>
      <c r="E22" s="940"/>
      <c r="F22" s="940"/>
      <c r="G22" s="99"/>
      <c r="H22" s="941"/>
      <c r="I22" s="941"/>
      <c r="J22" s="92" t="str">
        <f>IF(C22="","",VLOOKUP(C22,Daten!$AW$9:$BD$221,6))</f>
        <v/>
      </c>
      <c r="K22" s="92" t="str">
        <f>IF(C22="","",VLOOKUP(C22,Daten!$AW$9:$BD$221,7))</f>
        <v/>
      </c>
      <c r="L22" s="93" t="str">
        <f>IF(C22="","",VLOOKUP(C22,Daten!$AW$9:$BD$221,9))</f>
        <v/>
      </c>
      <c r="M22" s="94" t="str">
        <f t="shared" si="1"/>
        <v/>
      </c>
      <c r="N22" s="95" t="str">
        <f t="shared" si="2"/>
        <v/>
      </c>
      <c r="O22" s="96" t="str">
        <f t="shared" si="3"/>
        <v/>
      </c>
      <c r="P22" s="95" t="str">
        <f t="shared" si="4"/>
        <v/>
      </c>
      <c r="R22" s="67"/>
      <c r="T22" s="17"/>
      <c r="Z22" s="97">
        <f t="shared" si="5"/>
        <v>0</v>
      </c>
      <c r="AA22" s="97">
        <f t="shared" si="6"/>
        <v>0</v>
      </c>
      <c r="AB22" s="97">
        <f t="shared" si="7"/>
        <v>0</v>
      </c>
      <c r="AC22" s="97">
        <f t="shared" si="8"/>
        <v>0</v>
      </c>
      <c r="AD22" s="97">
        <f t="shared" si="9"/>
        <v>0</v>
      </c>
    </row>
    <row r="23" spans="1:30" ht="15" customHeight="1" x14ac:dyDescent="0.2">
      <c r="A23" s="50"/>
      <c r="B23" s="54" t="str">
        <f t="shared" si="0"/>
        <v/>
      </c>
      <c r="C23" s="98" t="str">
        <f>IF(D23="","",VLOOKUP(D23,Daten!$CV$10:$CW$226,2,))</f>
        <v/>
      </c>
      <c r="D23" s="940"/>
      <c r="E23" s="940"/>
      <c r="F23" s="940"/>
      <c r="G23" s="99"/>
      <c r="H23" s="941"/>
      <c r="I23" s="941"/>
      <c r="J23" s="92" t="str">
        <f>IF(C23="","",VLOOKUP(C23,Daten!$AW$9:$BD$221,6))</f>
        <v/>
      </c>
      <c r="K23" s="92" t="str">
        <f>IF(C23="","",VLOOKUP(C23,Daten!$AW$9:$BD$221,7))</f>
        <v/>
      </c>
      <c r="L23" s="93" t="str">
        <f>IF(C23="","",VLOOKUP(C23,Daten!$AW$9:$BD$221,9))</f>
        <v/>
      </c>
      <c r="M23" s="94" t="str">
        <f t="shared" si="1"/>
        <v/>
      </c>
      <c r="N23" s="95" t="str">
        <f t="shared" si="2"/>
        <v/>
      </c>
      <c r="O23" s="96" t="str">
        <f t="shared" si="3"/>
        <v/>
      </c>
      <c r="P23" s="95" t="str">
        <f t="shared" si="4"/>
        <v/>
      </c>
      <c r="R23" s="67"/>
      <c r="T23" s="17"/>
      <c r="Z23" s="97">
        <f t="shared" si="5"/>
        <v>0</v>
      </c>
      <c r="AA23" s="97">
        <f t="shared" si="6"/>
        <v>0</v>
      </c>
      <c r="AB23" s="97">
        <f t="shared" si="7"/>
        <v>0</v>
      </c>
      <c r="AC23" s="97">
        <f t="shared" si="8"/>
        <v>0</v>
      </c>
      <c r="AD23" s="97">
        <f t="shared" si="9"/>
        <v>0</v>
      </c>
    </row>
    <row r="24" spans="1:30" ht="15" customHeight="1" x14ac:dyDescent="0.2">
      <c r="A24" s="50"/>
      <c r="B24" s="54" t="str">
        <f t="shared" si="0"/>
        <v/>
      </c>
      <c r="C24" s="107" t="str">
        <f>IF(D24="","",VLOOKUP(D24,Daten!$CV$10:$CW$226,2,))</f>
        <v/>
      </c>
      <c r="D24" s="944"/>
      <c r="E24" s="944"/>
      <c r="F24" s="944"/>
      <c r="G24" s="108"/>
      <c r="H24" s="945"/>
      <c r="I24" s="945"/>
      <c r="J24" s="109" t="str">
        <f>IF(C24="","",VLOOKUP(C24,Daten!$AW$9:$BD$221,6))</f>
        <v/>
      </c>
      <c r="K24" s="109" t="str">
        <f>IF(C24="","",VLOOKUP(C24,Daten!$AW$9:$BD$221,7))</f>
        <v/>
      </c>
      <c r="L24" s="110" t="str">
        <f>IF(C24="","",VLOOKUP(C24,Daten!$AW$9:$BD$221,9))</f>
        <v/>
      </c>
      <c r="M24" s="111" t="str">
        <f t="shared" si="1"/>
        <v/>
      </c>
      <c r="N24" s="112" t="str">
        <f t="shared" si="2"/>
        <v/>
      </c>
      <c r="O24" s="113" t="str">
        <f t="shared" si="3"/>
        <v/>
      </c>
      <c r="P24" s="112" t="str">
        <f t="shared" si="4"/>
        <v/>
      </c>
      <c r="R24" s="67"/>
      <c r="T24" s="17"/>
      <c r="Z24" s="97">
        <f t="shared" si="5"/>
        <v>0</v>
      </c>
      <c r="AA24" s="97">
        <f t="shared" si="6"/>
        <v>0</v>
      </c>
      <c r="AB24" s="97">
        <f t="shared" si="7"/>
        <v>0</v>
      </c>
      <c r="AC24" s="97">
        <f t="shared" si="8"/>
        <v>0</v>
      </c>
      <c r="AD24" s="97">
        <f t="shared" si="9"/>
        <v>0</v>
      </c>
    </row>
    <row r="25" spans="1:30" ht="15" customHeight="1" x14ac:dyDescent="0.2">
      <c r="A25" s="50"/>
      <c r="B25" s="54" t="str">
        <f t="shared" si="0"/>
        <v/>
      </c>
      <c r="C25" s="67"/>
      <c r="D25" s="114" t="s">
        <v>53</v>
      </c>
      <c r="E25" s="115"/>
      <c r="F25" s="115"/>
      <c r="G25" s="116">
        <f>SUM(G10:G24)</f>
        <v>104000</v>
      </c>
      <c r="H25" s="946">
        <f>SUM(H10:H24)</f>
        <v>7000</v>
      </c>
      <c r="I25" s="946"/>
      <c r="J25" s="117"/>
      <c r="K25" s="118"/>
      <c r="L25" s="119"/>
      <c r="M25" s="120">
        <f>SUM(M10:M24)</f>
        <v>2366</v>
      </c>
      <c r="N25" s="121">
        <f>SUM(N10:N24)</f>
        <v>948.8</v>
      </c>
      <c r="O25" s="120">
        <f>SUM(O10:O24)</f>
        <v>113.19999999999999</v>
      </c>
      <c r="P25" s="121">
        <f>SUM(P10:P24)</f>
        <v>60.8</v>
      </c>
      <c r="Q25" s="63"/>
      <c r="R25" s="67"/>
      <c r="Z25" s="97">
        <f>SUM(Z10:Z24)</f>
        <v>0</v>
      </c>
      <c r="AA25" s="97">
        <f>SUM(AA10:AA24)</f>
        <v>0</v>
      </c>
      <c r="AB25" s="97">
        <f>SUM(AB10:AB24)</f>
        <v>0</v>
      </c>
      <c r="AC25" s="97">
        <f>SUM(AC10:AC24)</f>
        <v>0</v>
      </c>
      <c r="AD25" s="97">
        <f>SUM(AD10:AD24)</f>
        <v>0</v>
      </c>
    </row>
    <row r="26" spans="1:30" ht="18" customHeight="1" x14ac:dyDescent="0.2">
      <c r="A26" s="50"/>
      <c r="B26" s="54" t="str">
        <f t="shared" si="0"/>
        <v/>
      </c>
      <c r="C26" s="67"/>
      <c r="D26" s="122"/>
      <c r="E26" s="123"/>
      <c r="F26" s="123"/>
      <c r="G26" s="124"/>
      <c r="H26" s="125"/>
      <c r="I26" s="55"/>
      <c r="J26" s="55"/>
      <c r="K26" s="55"/>
      <c r="L26" s="55"/>
      <c r="M26" s="126"/>
      <c r="N26" s="126"/>
      <c r="O26" s="126"/>
      <c r="P26" s="127"/>
      <c r="Q26" s="63"/>
      <c r="R26" s="67"/>
    </row>
    <row r="27" spans="1:30" ht="15" hidden="1" customHeight="1" x14ac:dyDescent="0.2">
      <c r="A27" s="50"/>
      <c r="B27" s="128" t="str">
        <f t="shared" si="0"/>
        <v/>
      </c>
      <c r="C27" s="129"/>
      <c r="D27" s="130"/>
      <c r="E27" s="131"/>
      <c r="F27" s="131"/>
      <c r="G27" s="132"/>
      <c r="H27" s="947"/>
      <c r="I27" s="947"/>
      <c r="K27" s="51"/>
      <c r="L27" s="51"/>
      <c r="M27" s="51"/>
      <c r="N27" s="51"/>
      <c r="O27" s="51"/>
      <c r="P27" s="133"/>
      <c r="R27" s="134"/>
    </row>
    <row r="28" spans="1:30" ht="15" hidden="1" customHeight="1" x14ac:dyDescent="0.2">
      <c r="A28" s="50"/>
      <c r="B28" s="128" t="str">
        <f t="shared" si="0"/>
        <v/>
      </c>
      <c r="C28" s="135"/>
      <c r="D28" s="136"/>
      <c r="E28" s="131"/>
      <c r="F28" s="131"/>
      <c r="G28" s="137"/>
      <c r="H28" s="138"/>
      <c r="I28" s="51"/>
      <c r="J28" s="51"/>
      <c r="K28" s="51"/>
      <c r="L28" s="51"/>
      <c r="M28" s="51"/>
      <c r="N28" s="51"/>
      <c r="O28" s="51"/>
      <c r="P28" s="139"/>
      <c r="R28" s="134"/>
    </row>
    <row r="29" spans="1:30" ht="18" customHeight="1" x14ac:dyDescent="0.2">
      <c r="A29" s="50"/>
      <c r="B29" s="54" t="str">
        <f t="shared" si="0"/>
        <v/>
      </c>
      <c r="C29" s="140"/>
      <c r="D29" s="931" t="s">
        <v>54</v>
      </c>
      <c r="E29" s="931"/>
      <c r="F29" s="931"/>
      <c r="G29" s="931"/>
      <c r="H29" s="931"/>
      <c r="I29" s="931"/>
      <c r="J29" s="931"/>
      <c r="K29" s="931"/>
      <c r="L29" s="931"/>
      <c r="M29" s="931"/>
      <c r="N29" s="931"/>
      <c r="O29" s="931"/>
      <c r="P29" s="931"/>
      <c r="R29" s="67"/>
    </row>
    <row r="30" spans="1:30" ht="15" customHeight="1" x14ac:dyDescent="0.2">
      <c r="A30" s="50"/>
      <c r="B30" s="54" t="str">
        <f t="shared" si="0"/>
        <v/>
      </c>
      <c r="C30" s="948" t="s">
        <v>55</v>
      </c>
      <c r="D30" s="79"/>
      <c r="E30" s="80"/>
      <c r="F30" s="80"/>
      <c r="G30" s="949" t="s">
        <v>28</v>
      </c>
      <c r="H30" s="949"/>
      <c r="I30" s="949"/>
      <c r="J30" s="950" t="s">
        <v>29</v>
      </c>
      <c r="K30" s="950"/>
      <c r="L30" s="81"/>
      <c r="M30" s="934" t="s">
        <v>30</v>
      </c>
      <c r="N30" s="934"/>
      <c r="O30" s="934" t="s">
        <v>31</v>
      </c>
      <c r="P30" s="934"/>
      <c r="R30" s="67"/>
    </row>
    <row r="31" spans="1:30" ht="15" customHeight="1" x14ac:dyDescent="0.2">
      <c r="A31" s="50"/>
      <c r="B31" s="54" t="str">
        <f t="shared" si="0"/>
        <v/>
      </c>
      <c r="C31" s="948"/>
      <c r="D31" s="951" t="s">
        <v>33</v>
      </c>
      <c r="E31" s="951"/>
      <c r="F31" s="951"/>
      <c r="G31" s="84" t="s">
        <v>34</v>
      </c>
      <c r="H31" s="952" t="s">
        <v>35</v>
      </c>
      <c r="I31" s="952"/>
      <c r="J31" s="141" t="s">
        <v>36</v>
      </c>
      <c r="K31" s="86" t="s">
        <v>37</v>
      </c>
      <c r="L31" s="87" t="s">
        <v>38</v>
      </c>
      <c r="M31" s="88" t="s">
        <v>39</v>
      </c>
      <c r="N31" s="89" t="s">
        <v>40</v>
      </c>
      <c r="O31" s="88" t="s">
        <v>39</v>
      </c>
      <c r="P31" s="89" t="s">
        <v>40</v>
      </c>
      <c r="R31" s="67"/>
    </row>
    <row r="32" spans="1:30" ht="15" customHeight="1" x14ac:dyDescent="0.2">
      <c r="A32" s="50"/>
      <c r="B32" s="54" t="str">
        <f t="shared" si="0"/>
        <v/>
      </c>
      <c r="C32" s="90">
        <f>IF(D32="","",VLOOKUP(D32,Daten!$CN$10:$CO$116,2,))</f>
        <v>1</v>
      </c>
      <c r="D32" s="953" t="s">
        <v>56</v>
      </c>
      <c r="E32" s="953"/>
      <c r="F32" s="953"/>
      <c r="G32" s="142"/>
      <c r="H32" s="954">
        <v>1000000</v>
      </c>
      <c r="I32" s="954"/>
      <c r="J32" s="143">
        <f>IF(C32="","",VLOOKUP(C32,Daten!$C$10:$M$116,6)/10)</f>
        <v>0.5</v>
      </c>
      <c r="K32" s="144">
        <f>IF(C32="","",VLOOKUP(C32,Daten!$C$10:$M$116,9)/10)</f>
        <v>0.22999999999999998</v>
      </c>
      <c r="L32" s="93">
        <f>IF(C32="","",VLOOKUP(C32,Daten!$BJ$9:$BQ$20,8))</f>
        <v>0.13</v>
      </c>
      <c r="M32" s="94">
        <f t="shared" ref="M32:M46" si="10">IF(C32="","",$G32*J32/100)</f>
        <v>0</v>
      </c>
      <c r="N32" s="145">
        <f t="shared" ref="N32:N46" si="11">IF(C32="","",$G32*K32/100)</f>
        <v>0</v>
      </c>
      <c r="O32" s="146">
        <f t="shared" ref="O32:O46" si="12">IF(C32="","",$H32*J32/100)</f>
        <v>5000</v>
      </c>
      <c r="P32" s="147">
        <f t="shared" ref="P32:P46" si="13">IF(C32="","",$H32*K32/100)</f>
        <v>2299.9999999999995</v>
      </c>
      <c r="R32" s="67"/>
      <c r="T32" s="17"/>
    </row>
    <row r="33" spans="1:26" ht="15" customHeight="1" x14ac:dyDescent="0.2">
      <c r="A33" s="50"/>
      <c r="B33" s="54"/>
      <c r="C33" s="90" t="str">
        <f>IF(D33="","",VLOOKUP(D33,Daten!$CN$10:$CO$116,2,))</f>
        <v/>
      </c>
      <c r="D33" s="955"/>
      <c r="E33" s="955"/>
      <c r="F33" s="955"/>
      <c r="G33" s="148"/>
      <c r="H33" s="954"/>
      <c r="I33" s="954"/>
      <c r="J33" s="149" t="str">
        <f>IF(C33="","",VLOOKUP(C33,Daten!$C$10:$M$116,6)/10)</f>
        <v/>
      </c>
      <c r="K33" s="144" t="str">
        <f>IF(C33="","",VLOOKUP(C33,Daten!$C$10:$M$116,9)/10)</f>
        <v/>
      </c>
      <c r="L33" s="93"/>
      <c r="M33" s="94" t="str">
        <f t="shared" si="10"/>
        <v/>
      </c>
      <c r="N33" s="145" t="str">
        <f t="shared" si="11"/>
        <v/>
      </c>
      <c r="O33" s="150" t="str">
        <f t="shared" si="12"/>
        <v/>
      </c>
      <c r="P33" s="147" t="str">
        <f t="shared" si="13"/>
        <v/>
      </c>
      <c r="R33" s="67"/>
      <c r="T33" s="17"/>
    </row>
    <row r="34" spans="1:26" ht="15" customHeight="1" x14ac:dyDescent="0.2">
      <c r="A34" s="50"/>
      <c r="B34" s="54"/>
      <c r="C34" s="90" t="str">
        <f>IF(D34="","",VLOOKUP(D34,Daten!$CN$10:$CO$116,2,))</f>
        <v/>
      </c>
      <c r="D34" s="955"/>
      <c r="E34" s="955"/>
      <c r="F34" s="955"/>
      <c r="G34" s="148"/>
      <c r="H34" s="954"/>
      <c r="I34" s="954"/>
      <c r="J34" s="149" t="str">
        <f>IF(C34="","",VLOOKUP(C34,Daten!$C$10:$M$116,6)/10)</f>
        <v/>
      </c>
      <c r="K34" s="144" t="str">
        <f>IF(C34="","",VLOOKUP(C34,Daten!$C$10:$M$116,9)/10)</f>
        <v/>
      </c>
      <c r="L34" s="93"/>
      <c r="M34" s="94" t="str">
        <f t="shared" si="10"/>
        <v/>
      </c>
      <c r="N34" s="145" t="str">
        <f t="shared" si="11"/>
        <v/>
      </c>
      <c r="O34" s="150" t="str">
        <f t="shared" si="12"/>
        <v/>
      </c>
      <c r="P34" s="147" t="str">
        <f t="shared" si="13"/>
        <v/>
      </c>
      <c r="R34" s="67"/>
      <c r="T34" s="17"/>
    </row>
    <row r="35" spans="1:26" ht="15" customHeight="1" x14ac:dyDescent="0.2">
      <c r="A35" s="50"/>
      <c r="B35" s="54"/>
      <c r="C35" s="90" t="str">
        <f>IF(D35="","",VLOOKUP(D35,Daten!$CN$10:$CO$116,2,))</f>
        <v/>
      </c>
      <c r="D35" s="955"/>
      <c r="E35" s="955"/>
      <c r="F35" s="955"/>
      <c r="G35" s="148"/>
      <c r="H35" s="954"/>
      <c r="I35" s="954"/>
      <c r="J35" s="149" t="str">
        <f>IF(C35="","",VLOOKUP(C35,Daten!$C$10:$M$116,6)/10)</f>
        <v/>
      </c>
      <c r="K35" s="144" t="str">
        <f>IF(C35="","",VLOOKUP(C35,Daten!$C$10:$M$116,9)/10)</f>
        <v/>
      </c>
      <c r="L35" s="93"/>
      <c r="M35" s="94" t="str">
        <f t="shared" si="10"/>
        <v/>
      </c>
      <c r="N35" s="145" t="str">
        <f t="shared" si="11"/>
        <v/>
      </c>
      <c r="O35" s="150" t="str">
        <f t="shared" si="12"/>
        <v/>
      </c>
      <c r="P35" s="147" t="str">
        <f t="shared" si="13"/>
        <v/>
      </c>
      <c r="R35" s="67"/>
      <c r="T35" s="17"/>
    </row>
    <row r="36" spans="1:26" ht="15" customHeight="1" x14ac:dyDescent="0.2">
      <c r="A36" s="50"/>
      <c r="B36" s="54"/>
      <c r="C36" s="90" t="str">
        <f>IF(D36="","",VLOOKUP(D36,Daten!$CN$10:$CO$116,2,))</f>
        <v/>
      </c>
      <c r="D36" s="956"/>
      <c r="E36" s="956"/>
      <c r="F36" s="956"/>
      <c r="G36" s="151"/>
      <c r="H36" s="957"/>
      <c r="I36" s="957"/>
      <c r="J36" s="152" t="str">
        <f>IF(C36="","",VLOOKUP(C36,Daten!$C$10:$M$116,6)/10)</f>
        <v/>
      </c>
      <c r="K36" s="153" t="str">
        <f>IF(C36="","",VLOOKUP(C36,Daten!$C$10:$M$116,9)/10)</f>
        <v/>
      </c>
      <c r="L36" s="103"/>
      <c r="M36" s="104" t="str">
        <f t="shared" si="10"/>
        <v/>
      </c>
      <c r="N36" s="154" t="str">
        <f t="shared" si="11"/>
        <v/>
      </c>
      <c r="O36" s="155" t="str">
        <f t="shared" si="12"/>
        <v/>
      </c>
      <c r="P36" s="156" t="str">
        <f t="shared" si="13"/>
        <v/>
      </c>
      <c r="R36" s="67"/>
      <c r="T36" s="17"/>
    </row>
    <row r="37" spans="1:26" ht="15" customHeight="1" x14ac:dyDescent="0.2">
      <c r="A37" s="50"/>
      <c r="B37" s="54"/>
      <c r="C37" s="90" t="str">
        <f>IF(D37="","",VLOOKUP(D37,Daten!$CN$10:$CO$116,2,))</f>
        <v/>
      </c>
      <c r="D37" s="955"/>
      <c r="E37" s="955"/>
      <c r="F37" s="955"/>
      <c r="G37" s="148"/>
      <c r="H37" s="954"/>
      <c r="I37" s="954"/>
      <c r="J37" s="149" t="str">
        <f>IF(C37="","",VLOOKUP(C37,Daten!$C$10:$M$116,6)/10)</f>
        <v/>
      </c>
      <c r="K37" s="144" t="str">
        <f>IF(C37="","",VLOOKUP(C37,Daten!$C$10:$M$116,9)/10)</f>
        <v/>
      </c>
      <c r="L37" s="93"/>
      <c r="M37" s="94" t="str">
        <f t="shared" si="10"/>
        <v/>
      </c>
      <c r="N37" s="145" t="str">
        <f t="shared" si="11"/>
        <v/>
      </c>
      <c r="O37" s="150" t="str">
        <f t="shared" si="12"/>
        <v/>
      </c>
      <c r="P37" s="147" t="str">
        <f t="shared" si="13"/>
        <v/>
      </c>
      <c r="R37" s="67"/>
      <c r="T37" s="17"/>
    </row>
    <row r="38" spans="1:26" ht="15" customHeight="1" x14ac:dyDescent="0.2">
      <c r="A38" s="50"/>
      <c r="B38" s="54"/>
      <c r="C38" s="90" t="str">
        <f>IF(D38="","",VLOOKUP(D38,Daten!$CN$10:$CO$116,2,))</f>
        <v/>
      </c>
      <c r="D38" s="955"/>
      <c r="E38" s="955"/>
      <c r="F38" s="955"/>
      <c r="G38" s="148"/>
      <c r="H38" s="954"/>
      <c r="I38" s="954"/>
      <c r="J38" s="149" t="str">
        <f>IF(C38="","",VLOOKUP(C38,Daten!$C$10:$M$116,6)/10)</f>
        <v/>
      </c>
      <c r="K38" s="144" t="str">
        <f>IF(C38="","",VLOOKUP(C38,Daten!$C$10:$M$116,9)/10)</f>
        <v/>
      </c>
      <c r="L38" s="93"/>
      <c r="M38" s="94" t="str">
        <f t="shared" si="10"/>
        <v/>
      </c>
      <c r="N38" s="145" t="str">
        <f t="shared" si="11"/>
        <v/>
      </c>
      <c r="O38" s="150" t="str">
        <f t="shared" si="12"/>
        <v/>
      </c>
      <c r="P38" s="147" t="str">
        <f t="shared" si="13"/>
        <v/>
      </c>
      <c r="R38" s="67"/>
      <c r="T38" s="17"/>
    </row>
    <row r="39" spans="1:26" ht="15" customHeight="1" x14ac:dyDescent="0.2">
      <c r="A39" s="50"/>
      <c r="B39" s="54"/>
      <c r="C39" s="90" t="str">
        <f>IF(D39="","",VLOOKUP(D39,Daten!$CN$10:$CO$116,2,))</f>
        <v/>
      </c>
      <c r="D39" s="955"/>
      <c r="E39" s="955"/>
      <c r="F39" s="955"/>
      <c r="G39" s="148"/>
      <c r="H39" s="954"/>
      <c r="I39" s="954"/>
      <c r="J39" s="149" t="str">
        <f>IF(C39="","",VLOOKUP(C39,Daten!$C$10:$M$116,6)/10)</f>
        <v/>
      </c>
      <c r="K39" s="144" t="str">
        <f>IF(C39="","",VLOOKUP(C39,Daten!$C$10:$M$116,9)/10)</f>
        <v/>
      </c>
      <c r="L39" s="93"/>
      <c r="M39" s="94" t="str">
        <f t="shared" si="10"/>
        <v/>
      </c>
      <c r="N39" s="145" t="str">
        <f t="shared" si="11"/>
        <v/>
      </c>
      <c r="O39" s="150" t="str">
        <f t="shared" si="12"/>
        <v/>
      </c>
      <c r="P39" s="147" t="str">
        <f t="shared" si="13"/>
        <v/>
      </c>
      <c r="R39" s="67"/>
      <c r="T39" s="17"/>
    </row>
    <row r="40" spans="1:26" ht="15" customHeight="1" x14ac:dyDescent="0.2">
      <c r="A40" s="50"/>
      <c r="B40" s="54"/>
      <c r="C40" s="90" t="str">
        <f>IF(D40="","",VLOOKUP(D40,Daten!$CN$10:$CO$116,2,))</f>
        <v/>
      </c>
      <c r="D40" s="955"/>
      <c r="E40" s="955"/>
      <c r="F40" s="955"/>
      <c r="G40" s="148"/>
      <c r="H40" s="954"/>
      <c r="I40" s="954"/>
      <c r="J40" s="149" t="str">
        <f>IF(C40="","",VLOOKUP(C40,Daten!$C$10:$M$116,6)/10)</f>
        <v/>
      </c>
      <c r="K40" s="144" t="str">
        <f>IF(C40="","",VLOOKUP(C40,Daten!$C$10:$M$116,9)/10)</f>
        <v/>
      </c>
      <c r="L40" s="93"/>
      <c r="M40" s="94" t="str">
        <f t="shared" si="10"/>
        <v/>
      </c>
      <c r="N40" s="145" t="str">
        <f t="shared" si="11"/>
        <v/>
      </c>
      <c r="O40" s="150" t="str">
        <f t="shared" si="12"/>
        <v/>
      </c>
      <c r="P40" s="147" t="str">
        <f t="shared" si="13"/>
        <v/>
      </c>
      <c r="R40" s="67"/>
      <c r="T40" s="17"/>
    </row>
    <row r="41" spans="1:26" ht="15" customHeight="1" x14ac:dyDescent="0.2">
      <c r="A41" s="50"/>
      <c r="B41" s="54"/>
      <c r="C41" s="90" t="str">
        <f>IF(D41="","",VLOOKUP(D41,Daten!$CN$10:$CO$116,2,))</f>
        <v/>
      </c>
      <c r="D41" s="956"/>
      <c r="E41" s="956"/>
      <c r="F41" s="956"/>
      <c r="G41" s="151"/>
      <c r="H41" s="957"/>
      <c r="I41" s="957"/>
      <c r="J41" s="152" t="str">
        <f>IF(C41="","",VLOOKUP(C41,Daten!$C$10:$M$116,6)/10)</f>
        <v/>
      </c>
      <c r="K41" s="153" t="str">
        <f>IF(C41="","",VLOOKUP(C41,Daten!$C$10:$M$116,9)/10)</f>
        <v/>
      </c>
      <c r="L41" s="103"/>
      <c r="M41" s="104" t="str">
        <f t="shared" si="10"/>
        <v/>
      </c>
      <c r="N41" s="154" t="str">
        <f t="shared" si="11"/>
        <v/>
      </c>
      <c r="O41" s="155" t="str">
        <f t="shared" si="12"/>
        <v/>
      </c>
      <c r="P41" s="156" t="str">
        <f t="shared" si="13"/>
        <v/>
      </c>
      <c r="R41" s="67"/>
      <c r="T41" s="17"/>
    </row>
    <row r="42" spans="1:26" ht="15" customHeight="1" x14ac:dyDescent="0.2">
      <c r="A42" s="50"/>
      <c r="B42" s="54"/>
      <c r="C42" s="90" t="str">
        <f>IF(D42="","",VLOOKUP(D42,Daten!$CN$10:$CO$116,2,))</f>
        <v/>
      </c>
      <c r="D42" s="955"/>
      <c r="E42" s="955"/>
      <c r="F42" s="955"/>
      <c r="G42" s="148"/>
      <c r="H42" s="954"/>
      <c r="I42" s="954"/>
      <c r="J42" s="149" t="str">
        <f>IF(C42="","",VLOOKUP(C42,Daten!$C$10:$M$116,6)/10)</f>
        <v/>
      </c>
      <c r="K42" s="144" t="str">
        <f>IF(C42="","",VLOOKUP(C42,Daten!$C$10:$M$116,9)/10)</f>
        <v/>
      </c>
      <c r="L42" s="93"/>
      <c r="M42" s="94" t="str">
        <f t="shared" si="10"/>
        <v/>
      </c>
      <c r="N42" s="145" t="str">
        <f t="shared" si="11"/>
        <v/>
      </c>
      <c r="O42" s="150" t="str">
        <f t="shared" si="12"/>
        <v/>
      </c>
      <c r="P42" s="147" t="str">
        <f t="shared" si="13"/>
        <v/>
      </c>
      <c r="R42" s="67"/>
      <c r="T42" s="17"/>
    </row>
    <row r="43" spans="1:26" ht="15" customHeight="1" x14ac:dyDescent="0.2">
      <c r="A43" s="50"/>
      <c r="B43" s="54"/>
      <c r="C43" s="90" t="str">
        <f>IF(D43="","",VLOOKUP(D43,Daten!$CN$10:$CO$116,2,))</f>
        <v/>
      </c>
      <c r="D43" s="955"/>
      <c r="E43" s="955"/>
      <c r="F43" s="955"/>
      <c r="G43" s="148"/>
      <c r="H43" s="954"/>
      <c r="I43" s="954"/>
      <c r="J43" s="149" t="str">
        <f>IF(C43="","",VLOOKUP(C43,Daten!$C$10:$M$116,6)/10)</f>
        <v/>
      </c>
      <c r="K43" s="144" t="str">
        <f>IF(C43="","",VLOOKUP(C43,Daten!$C$10:$M$116,9)/10)</f>
        <v/>
      </c>
      <c r="L43" s="93"/>
      <c r="M43" s="94" t="str">
        <f t="shared" si="10"/>
        <v/>
      </c>
      <c r="N43" s="145" t="str">
        <f t="shared" si="11"/>
        <v/>
      </c>
      <c r="O43" s="150" t="str">
        <f t="shared" si="12"/>
        <v/>
      </c>
      <c r="P43" s="147" t="str">
        <f t="shared" si="13"/>
        <v/>
      </c>
      <c r="R43" s="67"/>
      <c r="T43" s="17"/>
    </row>
    <row r="44" spans="1:26" ht="15" customHeight="1" x14ac:dyDescent="0.2">
      <c r="A44" s="50"/>
      <c r="B44" s="54" t="str">
        <f t="shared" ref="B44:B58" si="14">IF(SUM(U44:Y44)&gt;0,"*","")</f>
        <v/>
      </c>
      <c r="C44" s="90" t="str">
        <f>IF(D44="","",VLOOKUP(D44,Daten!$CN$10:$CO$116,2,))</f>
        <v/>
      </c>
      <c r="D44" s="955"/>
      <c r="E44" s="955"/>
      <c r="F44" s="955"/>
      <c r="G44" s="148"/>
      <c r="H44" s="954"/>
      <c r="I44" s="954"/>
      <c r="J44" s="149" t="str">
        <f>IF(C44="","",VLOOKUP(C44,Daten!$C$10:$M$116,6)/10)</f>
        <v/>
      </c>
      <c r="K44" s="144" t="str">
        <f>IF(C44="","",VLOOKUP(C44,Daten!$C$10:$M$116,9)/10)</f>
        <v/>
      </c>
      <c r="L44" s="93" t="str">
        <f>IF(C44="","",VLOOKUP(C44,Daten!$BJ$9:$BQ$20,8))</f>
        <v/>
      </c>
      <c r="M44" s="94" t="str">
        <f t="shared" si="10"/>
        <v/>
      </c>
      <c r="N44" s="145" t="str">
        <f t="shared" si="11"/>
        <v/>
      </c>
      <c r="O44" s="150" t="str">
        <f t="shared" si="12"/>
        <v/>
      </c>
      <c r="P44" s="147" t="str">
        <f t="shared" si="13"/>
        <v/>
      </c>
      <c r="R44" s="67"/>
      <c r="T44" s="17"/>
    </row>
    <row r="45" spans="1:26" ht="15" customHeight="1" x14ac:dyDescent="0.2">
      <c r="A45" s="50"/>
      <c r="B45" s="54" t="str">
        <f t="shared" si="14"/>
        <v/>
      </c>
      <c r="C45" s="90" t="str">
        <f>IF(D45="","",VLOOKUP(D45,Daten!$CN$10:$CO$116,2,))</f>
        <v/>
      </c>
      <c r="D45" s="955"/>
      <c r="E45" s="955"/>
      <c r="F45" s="955"/>
      <c r="G45" s="148"/>
      <c r="H45" s="954"/>
      <c r="I45" s="954"/>
      <c r="J45" s="149" t="str">
        <f>IF(C45="","",VLOOKUP(C45,Daten!$C$10:$M$116,6)/10)</f>
        <v/>
      </c>
      <c r="K45" s="144" t="str">
        <f>IF(C45="","",VLOOKUP(C45,Daten!$C$10:$M$116,9)/10)</f>
        <v/>
      </c>
      <c r="L45" s="93" t="str">
        <f>IF(C45="","",VLOOKUP(C45,Daten!$BJ$9:$BQ$20,8))</f>
        <v/>
      </c>
      <c r="M45" s="94" t="str">
        <f t="shared" si="10"/>
        <v/>
      </c>
      <c r="N45" s="145" t="str">
        <f t="shared" si="11"/>
        <v/>
      </c>
      <c r="O45" s="150" t="str">
        <f t="shared" si="12"/>
        <v/>
      </c>
      <c r="P45" s="147" t="str">
        <f t="shared" si="13"/>
        <v/>
      </c>
      <c r="R45" s="67"/>
      <c r="T45" s="17"/>
    </row>
    <row r="46" spans="1:26" ht="15" customHeight="1" x14ac:dyDescent="0.2">
      <c r="A46" s="50"/>
      <c r="B46" s="54" t="str">
        <f t="shared" si="14"/>
        <v/>
      </c>
      <c r="C46" s="90" t="str">
        <f>IF(D46="","",VLOOKUP(D46,Daten!$CN$10:$CO$116,2,))</f>
        <v/>
      </c>
      <c r="D46" s="958"/>
      <c r="E46" s="958"/>
      <c r="F46" s="958"/>
      <c r="G46" s="157"/>
      <c r="H46" s="959"/>
      <c r="I46" s="959"/>
      <c r="J46" s="158" t="str">
        <f>IF(C46="","",VLOOKUP(C46,Daten!$C$10:$M$116,6)/10)</f>
        <v/>
      </c>
      <c r="K46" s="159" t="str">
        <f>IF(C46="","",VLOOKUP(C46,Daten!$C$10:$M$116,9)/10)</f>
        <v/>
      </c>
      <c r="L46" s="110"/>
      <c r="M46" s="111" t="str">
        <f t="shared" si="10"/>
        <v/>
      </c>
      <c r="N46" s="160" t="str">
        <f t="shared" si="11"/>
        <v/>
      </c>
      <c r="O46" s="161" t="str">
        <f t="shared" si="12"/>
        <v/>
      </c>
      <c r="P46" s="162" t="str">
        <f t="shared" si="13"/>
        <v/>
      </c>
      <c r="R46" s="67"/>
      <c r="T46" s="17"/>
    </row>
    <row r="47" spans="1:26" ht="15" customHeight="1" x14ac:dyDescent="0.2">
      <c r="A47" s="50"/>
      <c r="B47" s="54" t="str">
        <f t="shared" si="14"/>
        <v/>
      </c>
      <c r="C47" s="163"/>
      <c r="D47" s="164" t="s">
        <v>57</v>
      </c>
      <c r="E47" s="125"/>
      <c r="F47" s="125"/>
      <c r="G47" s="7">
        <f>SUM(G32:G46)</f>
        <v>0</v>
      </c>
      <c r="H47" s="960">
        <f>SUM(H32:H46)</f>
        <v>1000000</v>
      </c>
      <c r="I47" s="960"/>
      <c r="J47" s="165"/>
      <c r="K47" s="165"/>
      <c r="L47" s="166"/>
      <c r="M47" s="167">
        <f>SUM(M32:M46)</f>
        <v>0</v>
      </c>
      <c r="N47" s="168">
        <f>SUM(N32:N46)</f>
        <v>0</v>
      </c>
      <c r="O47" s="169">
        <f>SUM(O32:O46)</f>
        <v>5000</v>
      </c>
      <c r="P47" s="170">
        <f>SUM(P32:P46)</f>
        <v>2299.9999999999995</v>
      </c>
      <c r="Q47" s="55"/>
      <c r="R47" s="67"/>
      <c r="Z47" s="171"/>
    </row>
    <row r="48" spans="1:26" ht="18" customHeight="1" x14ac:dyDescent="0.2">
      <c r="A48" s="50"/>
      <c r="B48" s="54" t="str">
        <f t="shared" si="14"/>
        <v/>
      </c>
      <c r="C48" s="163"/>
      <c r="D48" s="164"/>
      <c r="E48" s="125"/>
      <c r="F48" s="125"/>
      <c r="G48" s="172"/>
      <c r="H48" s="173"/>
      <c r="I48" s="125"/>
      <c r="J48" s="172"/>
      <c r="K48" s="172"/>
      <c r="L48" s="172"/>
      <c r="M48" s="174"/>
      <c r="N48" s="174"/>
      <c r="O48" s="174"/>
      <c r="P48" s="175"/>
      <c r="Q48" s="55"/>
      <c r="R48" s="67"/>
      <c r="Z48" s="171"/>
    </row>
    <row r="49" spans="1:26" ht="18" customHeight="1" x14ac:dyDescent="0.2">
      <c r="A49" s="50"/>
      <c r="B49" s="54" t="str">
        <f t="shared" si="14"/>
        <v/>
      </c>
      <c r="C49" s="176"/>
      <c r="D49" s="931" t="s">
        <v>58</v>
      </c>
      <c r="E49" s="931"/>
      <c r="F49" s="931"/>
      <c r="G49" s="931"/>
      <c r="H49" s="931"/>
      <c r="I49" s="931"/>
      <c r="J49" s="931"/>
      <c r="K49" s="931"/>
      <c r="L49" s="931"/>
      <c r="M49" s="931"/>
      <c r="N49" s="931"/>
      <c r="O49" s="931"/>
      <c r="P49" s="931"/>
      <c r="Q49" s="51"/>
      <c r="R49" s="67"/>
      <c r="Z49" s="171"/>
    </row>
    <row r="50" spans="1:26" ht="15" customHeight="1" x14ac:dyDescent="0.2">
      <c r="A50" s="50"/>
      <c r="B50" s="54" t="str">
        <f t="shared" si="14"/>
        <v/>
      </c>
      <c r="C50" s="176"/>
      <c r="D50" s="79"/>
      <c r="E50" s="177"/>
      <c r="F50" s="177" t="s">
        <v>59</v>
      </c>
      <c r="G50" s="949" t="s">
        <v>28</v>
      </c>
      <c r="H50" s="949"/>
      <c r="I50" s="949"/>
      <c r="J50" s="950" t="s">
        <v>29</v>
      </c>
      <c r="K50" s="950"/>
      <c r="L50" s="81"/>
      <c r="M50" s="934" t="s">
        <v>30</v>
      </c>
      <c r="N50" s="934"/>
      <c r="O50" s="934" t="s">
        <v>31</v>
      </c>
      <c r="P50" s="934"/>
      <c r="Q50" s="51"/>
      <c r="R50" s="67"/>
      <c r="Z50" s="171"/>
    </row>
    <row r="51" spans="1:26" ht="15" customHeight="1" x14ac:dyDescent="0.2">
      <c r="A51" s="50"/>
      <c r="B51" s="54" t="str">
        <f t="shared" si="14"/>
        <v/>
      </c>
      <c r="C51" s="176"/>
      <c r="D51" s="178" t="s">
        <v>33</v>
      </c>
      <c r="E51" s="179" t="s">
        <v>60</v>
      </c>
      <c r="F51" s="179" t="s">
        <v>61</v>
      </c>
      <c r="G51" s="84" t="s">
        <v>34</v>
      </c>
      <c r="H51" s="952" t="s">
        <v>35</v>
      </c>
      <c r="I51" s="952"/>
      <c r="J51" s="141" t="s">
        <v>36</v>
      </c>
      <c r="K51" s="86" t="s">
        <v>37</v>
      </c>
      <c r="L51" s="87" t="s">
        <v>38</v>
      </c>
      <c r="M51" s="88" t="s">
        <v>39</v>
      </c>
      <c r="N51" s="89" t="s">
        <v>40</v>
      </c>
      <c r="O51" s="88" t="s">
        <v>39</v>
      </c>
      <c r="P51" s="89" t="s">
        <v>40</v>
      </c>
      <c r="Q51" s="51"/>
      <c r="R51" s="67"/>
      <c r="Z51" s="171"/>
    </row>
    <row r="52" spans="1:26" ht="15" customHeight="1" x14ac:dyDescent="0.2">
      <c r="A52" s="50"/>
      <c r="B52" s="54" t="str">
        <f t="shared" si="14"/>
        <v/>
      </c>
      <c r="C52" s="90">
        <f>IF(D52="","",VLOOKUP(D52,Daten!$CN$10:$CO$116,2,))</f>
        <v>12</v>
      </c>
      <c r="D52" s="11" t="s">
        <v>62</v>
      </c>
      <c r="E52" s="180">
        <v>-15</v>
      </c>
      <c r="F52" s="181">
        <v>750</v>
      </c>
      <c r="G52" s="142" t="str">
        <f t="shared" ref="G52:G66" si="15">IF(C52="","",IF(E52&lt;0,"",E52*F52))</f>
        <v/>
      </c>
      <c r="H52" s="954">
        <f t="shared" ref="H52:H66" si="16">IF(C52="","",IF(E52&gt;0,"",E52*F52))</f>
        <v>-11250</v>
      </c>
      <c r="I52" s="954" t="e">
        <f t="shared" ref="I52:I66" si="17">IF(E52="","",IF(G52&lt;0,"",G52*H52))</f>
        <v>#VALUE!</v>
      </c>
      <c r="J52" s="149">
        <f>IF(C52="","",VLOOKUP(C52,Daten!$C$10:$M$116,6)/10)</f>
        <v>2.7</v>
      </c>
      <c r="K52" s="144">
        <f>IF(C52="","",VLOOKUP(C52,Daten!$C$10:$M$116,9)/10)</f>
        <v>1.49</v>
      </c>
      <c r="L52" s="93">
        <f>IF(C52="","",VLOOKUP(C52,Daten!$BJ$9:$BQ$20,8))</f>
        <v>0.5</v>
      </c>
      <c r="M52" s="94" t="str">
        <f t="shared" ref="M52:M66" si="18">IF(C52="","",IF(G52="","",$G52*J52/100))</f>
        <v/>
      </c>
      <c r="N52" s="145" t="str">
        <f t="shared" ref="N52:N66" si="19">IF(C52="","",IF(G52="","",$G52*K52/100))</f>
        <v/>
      </c>
      <c r="O52" s="146">
        <f t="shared" ref="O52:O66" si="20">IF(C52="","",IF(H52="","",($H52-H52-H52)*J52/100))</f>
        <v>303.75000000000006</v>
      </c>
      <c r="P52" s="147">
        <f t="shared" ref="P52:P66" si="21">IF(C52="","",IF(H52="","",($H52-H52-H52)*K52/100))</f>
        <v>167.625</v>
      </c>
      <c r="Q52" s="51"/>
      <c r="R52" s="67"/>
      <c r="Z52" s="171"/>
    </row>
    <row r="53" spans="1:26" ht="15" customHeight="1" x14ac:dyDescent="0.2">
      <c r="A53" s="50"/>
      <c r="B53" s="54" t="str">
        <f t="shared" si="14"/>
        <v/>
      </c>
      <c r="C53" s="90">
        <f>IF(D53="","",VLOOKUP(D53,Daten!$CN$10:$CO$116,2,))</f>
        <v>12</v>
      </c>
      <c r="D53" s="11" t="s">
        <v>62</v>
      </c>
      <c r="E53" s="182">
        <v>15</v>
      </c>
      <c r="F53" s="181">
        <v>150</v>
      </c>
      <c r="G53" s="148">
        <f t="shared" si="15"/>
        <v>2250</v>
      </c>
      <c r="H53" s="954" t="str">
        <f t="shared" si="16"/>
        <v/>
      </c>
      <c r="I53" s="954" t="e">
        <f t="shared" si="17"/>
        <v>#VALUE!</v>
      </c>
      <c r="J53" s="149">
        <f>IF(C53="","",VLOOKUP(C53,Daten!$C$10:$M$116,6)/10)</f>
        <v>2.7</v>
      </c>
      <c r="K53" s="144">
        <f>IF(C53="","",VLOOKUP(C53,Daten!$C$10:$M$116,9)/10)</f>
        <v>1.49</v>
      </c>
      <c r="L53" s="93"/>
      <c r="M53" s="94">
        <f t="shared" si="18"/>
        <v>60.75</v>
      </c>
      <c r="N53" s="145">
        <f t="shared" si="19"/>
        <v>33.524999999999999</v>
      </c>
      <c r="O53" s="150" t="str">
        <f t="shared" si="20"/>
        <v/>
      </c>
      <c r="P53" s="147" t="str">
        <f t="shared" si="21"/>
        <v/>
      </c>
      <c r="Q53" s="51"/>
      <c r="R53" s="67"/>
      <c r="Z53" s="171"/>
    </row>
    <row r="54" spans="1:26" ht="15" customHeight="1" x14ac:dyDescent="0.2">
      <c r="A54" s="50"/>
      <c r="B54" s="54" t="str">
        <f t="shared" si="14"/>
        <v/>
      </c>
      <c r="C54" s="90">
        <f>IF(D54="","",VLOOKUP(D54,Daten!$CN$10:$CO$116,2,))</f>
        <v>13</v>
      </c>
      <c r="D54" s="11" t="s">
        <v>63</v>
      </c>
      <c r="E54" s="182">
        <v>500</v>
      </c>
      <c r="F54" s="181">
        <v>30</v>
      </c>
      <c r="G54" s="148">
        <f t="shared" si="15"/>
        <v>15000</v>
      </c>
      <c r="H54" s="954" t="str">
        <f t="shared" si="16"/>
        <v/>
      </c>
      <c r="I54" s="954" t="e">
        <f t="shared" si="17"/>
        <v>#VALUE!</v>
      </c>
      <c r="J54" s="149">
        <f>IF(C54="","",VLOOKUP(C54,Daten!$C$10:$M$116,6)/10)</f>
        <v>2.56</v>
      </c>
      <c r="K54" s="144">
        <f>IF(C54="","",VLOOKUP(C54,Daten!$C$10:$M$116,9)/10)</f>
        <v>1.17</v>
      </c>
      <c r="L54" s="93"/>
      <c r="M54" s="94">
        <f t="shared" si="18"/>
        <v>384</v>
      </c>
      <c r="N54" s="145">
        <f t="shared" si="19"/>
        <v>175.5</v>
      </c>
      <c r="O54" s="150" t="str">
        <f t="shared" si="20"/>
        <v/>
      </c>
      <c r="P54" s="147" t="str">
        <f t="shared" si="21"/>
        <v/>
      </c>
      <c r="Q54" s="51"/>
      <c r="R54" s="67"/>
      <c r="Z54" s="171"/>
    </row>
    <row r="55" spans="1:26" ht="15" customHeight="1" x14ac:dyDescent="0.2">
      <c r="A55" s="50"/>
      <c r="B55" s="54" t="str">
        <f t="shared" si="14"/>
        <v/>
      </c>
      <c r="C55" s="90">
        <f>IF(D55="","",VLOOKUP(D55,Daten!$CN$10:$CO$116,2,))</f>
        <v>13</v>
      </c>
      <c r="D55" s="11" t="s">
        <v>63</v>
      </c>
      <c r="E55" s="182">
        <v>-500</v>
      </c>
      <c r="F55" s="181">
        <v>130</v>
      </c>
      <c r="G55" s="148" t="str">
        <f t="shared" si="15"/>
        <v/>
      </c>
      <c r="H55" s="954">
        <f t="shared" si="16"/>
        <v>-65000</v>
      </c>
      <c r="I55" s="954" t="e">
        <f t="shared" si="17"/>
        <v>#VALUE!</v>
      </c>
      <c r="J55" s="149">
        <f>IF(C55="","",VLOOKUP(C55,Daten!$C$10:$M$116,6)/10)</f>
        <v>2.56</v>
      </c>
      <c r="K55" s="144">
        <f>IF(C55="","",VLOOKUP(C55,Daten!$C$10:$M$116,9)/10)</f>
        <v>1.17</v>
      </c>
      <c r="L55" s="93"/>
      <c r="M55" s="94" t="str">
        <f t="shared" si="18"/>
        <v/>
      </c>
      <c r="N55" s="145" t="str">
        <f t="shared" si="19"/>
        <v/>
      </c>
      <c r="O55" s="150">
        <f t="shared" si="20"/>
        <v>1664</v>
      </c>
      <c r="P55" s="147">
        <f t="shared" si="21"/>
        <v>760.5</v>
      </c>
      <c r="Q55" s="51"/>
      <c r="R55" s="67"/>
      <c r="Z55" s="171"/>
    </row>
    <row r="56" spans="1:26" ht="15" customHeight="1" x14ac:dyDescent="0.2">
      <c r="A56" s="50"/>
      <c r="B56" s="54" t="str">
        <f t="shared" si="14"/>
        <v/>
      </c>
      <c r="C56" s="90" t="str">
        <f>IF(D56="","",VLOOKUP(D56,Daten!$CN$10:$CO$116,2,))</f>
        <v/>
      </c>
      <c r="D56" s="10"/>
      <c r="E56" s="183"/>
      <c r="F56" s="184"/>
      <c r="G56" s="151" t="str">
        <f t="shared" si="15"/>
        <v/>
      </c>
      <c r="H56" s="957" t="str">
        <f t="shared" si="16"/>
        <v/>
      </c>
      <c r="I56" s="957" t="str">
        <f t="shared" si="17"/>
        <v/>
      </c>
      <c r="J56" s="152" t="str">
        <f>IF(C56="","",VLOOKUP(C56,Daten!$C$10:$M$116,6)/10)</f>
        <v/>
      </c>
      <c r="K56" s="153" t="str">
        <f>IF(C56="","",VLOOKUP(C56,Daten!$C$10:$M$116,9)/10)</f>
        <v/>
      </c>
      <c r="L56" s="103"/>
      <c r="M56" s="104" t="str">
        <f t="shared" si="18"/>
        <v/>
      </c>
      <c r="N56" s="154" t="str">
        <f t="shared" si="19"/>
        <v/>
      </c>
      <c r="O56" s="155" t="str">
        <f t="shared" si="20"/>
        <v/>
      </c>
      <c r="P56" s="156" t="str">
        <f t="shared" si="21"/>
        <v/>
      </c>
      <c r="Q56" s="51"/>
      <c r="R56" s="67"/>
      <c r="Z56" s="171"/>
    </row>
    <row r="57" spans="1:26" ht="15" customHeight="1" x14ac:dyDescent="0.2">
      <c r="A57" s="50"/>
      <c r="B57" s="54" t="str">
        <f t="shared" si="14"/>
        <v/>
      </c>
      <c r="C57" s="90" t="str">
        <f>IF(D57="","",VLOOKUP(D57,Daten!$CN$10:$CO$116,2,))</f>
        <v/>
      </c>
      <c r="D57" s="11"/>
      <c r="E57" s="182"/>
      <c r="F57" s="181"/>
      <c r="G57" s="148" t="str">
        <f t="shared" si="15"/>
        <v/>
      </c>
      <c r="H57" s="954" t="str">
        <f t="shared" si="16"/>
        <v/>
      </c>
      <c r="I57" s="954" t="str">
        <f t="shared" si="17"/>
        <v/>
      </c>
      <c r="J57" s="149" t="str">
        <f>IF(C57="","",VLOOKUP(C57,Daten!$C$10:$M$116,6)/10)</f>
        <v/>
      </c>
      <c r="K57" s="144" t="str">
        <f>IF(C57="","",VLOOKUP(C57,Daten!$C$10:$M$116,9)/10)</f>
        <v/>
      </c>
      <c r="L57" s="93"/>
      <c r="M57" s="94" t="str">
        <f t="shared" si="18"/>
        <v/>
      </c>
      <c r="N57" s="145" t="str">
        <f t="shared" si="19"/>
        <v/>
      </c>
      <c r="O57" s="150" t="str">
        <f t="shared" si="20"/>
        <v/>
      </c>
      <c r="P57" s="147" t="str">
        <f t="shared" si="21"/>
        <v/>
      </c>
      <c r="Q57" s="51"/>
      <c r="R57" s="67"/>
      <c r="Z57" s="171"/>
    </row>
    <row r="58" spans="1:26" ht="15" customHeight="1" x14ac:dyDescent="0.2">
      <c r="A58" s="50"/>
      <c r="B58" s="54" t="str">
        <f t="shared" si="14"/>
        <v/>
      </c>
      <c r="C58" s="90" t="str">
        <f>IF(D58="","",VLOOKUP(D58,Daten!$CN$10:$CO$116,2,))</f>
        <v/>
      </c>
      <c r="D58" s="11"/>
      <c r="E58" s="182"/>
      <c r="F58" s="181"/>
      <c r="G58" s="148" t="str">
        <f t="shared" si="15"/>
        <v/>
      </c>
      <c r="H58" s="954" t="str">
        <f t="shared" si="16"/>
        <v/>
      </c>
      <c r="I58" s="954" t="str">
        <f t="shared" si="17"/>
        <v/>
      </c>
      <c r="J58" s="149" t="str">
        <f>IF(C58="","",VLOOKUP(C58,Daten!$C$10:$M$116,6)/10)</f>
        <v/>
      </c>
      <c r="K58" s="144" t="str">
        <f>IF(C58="","",VLOOKUP(C58,Daten!$C$10:$M$116,9)/10)</f>
        <v/>
      </c>
      <c r="L58" s="93"/>
      <c r="M58" s="94" t="str">
        <f t="shared" si="18"/>
        <v/>
      </c>
      <c r="N58" s="145" t="str">
        <f t="shared" si="19"/>
        <v/>
      </c>
      <c r="O58" s="150" t="str">
        <f t="shared" si="20"/>
        <v/>
      </c>
      <c r="P58" s="147" t="str">
        <f t="shared" si="21"/>
        <v/>
      </c>
      <c r="Q58" s="51"/>
      <c r="R58" s="67"/>
      <c r="Z58" s="171"/>
    </row>
    <row r="59" spans="1:26" ht="15" customHeight="1" x14ac:dyDescent="0.2">
      <c r="A59" s="50"/>
      <c r="B59" s="54"/>
      <c r="C59" s="90" t="str">
        <f>IF(D59="","",VLOOKUP(D59,Daten!$CN$10:$CO$116,2,))</f>
        <v/>
      </c>
      <c r="D59" s="11"/>
      <c r="E59" s="182"/>
      <c r="F59" s="181"/>
      <c r="G59" s="148" t="str">
        <f t="shared" si="15"/>
        <v/>
      </c>
      <c r="H59" s="954" t="str">
        <f t="shared" si="16"/>
        <v/>
      </c>
      <c r="I59" s="954" t="str">
        <f t="shared" si="17"/>
        <v/>
      </c>
      <c r="J59" s="149" t="str">
        <f>IF(C59="","",VLOOKUP(C59,Daten!$C$10:$M$116,6)/10)</f>
        <v/>
      </c>
      <c r="K59" s="144" t="str">
        <f>IF(C59="","",VLOOKUP(C59,Daten!$C$10:$M$116,9)/10)</f>
        <v/>
      </c>
      <c r="L59" s="93"/>
      <c r="M59" s="94" t="str">
        <f t="shared" si="18"/>
        <v/>
      </c>
      <c r="N59" s="145" t="str">
        <f t="shared" si="19"/>
        <v/>
      </c>
      <c r="O59" s="150" t="str">
        <f t="shared" si="20"/>
        <v/>
      </c>
      <c r="P59" s="147" t="str">
        <f t="shared" si="21"/>
        <v/>
      </c>
      <c r="Q59" s="51"/>
      <c r="R59" s="67"/>
      <c r="Z59" s="171"/>
    </row>
    <row r="60" spans="1:26" ht="15" customHeight="1" x14ac:dyDescent="0.2">
      <c r="A60" s="50"/>
      <c r="B60" s="54"/>
      <c r="C60" s="90" t="str">
        <f>IF(D60="","",VLOOKUP(D60,Daten!$CN$10:$CO$116,2,))</f>
        <v/>
      </c>
      <c r="D60" s="11"/>
      <c r="E60" s="182"/>
      <c r="F60" s="181"/>
      <c r="G60" s="148" t="str">
        <f t="shared" si="15"/>
        <v/>
      </c>
      <c r="H60" s="954" t="str">
        <f t="shared" si="16"/>
        <v/>
      </c>
      <c r="I60" s="954" t="str">
        <f t="shared" si="17"/>
        <v/>
      </c>
      <c r="J60" s="149" t="str">
        <f>IF(C60="","",VLOOKUP(C60,Daten!$C$10:$M$116,6)/10)</f>
        <v/>
      </c>
      <c r="K60" s="144" t="str">
        <f>IF(C60="","",VLOOKUP(C60,Daten!$C$10:$M$116,9)/10)</f>
        <v/>
      </c>
      <c r="L60" s="93"/>
      <c r="M60" s="94" t="str">
        <f t="shared" si="18"/>
        <v/>
      </c>
      <c r="N60" s="145" t="str">
        <f t="shared" si="19"/>
        <v/>
      </c>
      <c r="O60" s="150" t="str">
        <f t="shared" si="20"/>
        <v/>
      </c>
      <c r="P60" s="147" t="str">
        <f t="shared" si="21"/>
        <v/>
      </c>
      <c r="Q60" s="51"/>
      <c r="R60" s="67"/>
      <c r="Z60" s="171"/>
    </row>
    <row r="61" spans="1:26" ht="15" customHeight="1" x14ac:dyDescent="0.2">
      <c r="A61" s="50"/>
      <c r="B61" s="54"/>
      <c r="C61" s="90" t="str">
        <f>IF(D61="","",VLOOKUP(D61,Daten!$CN$10:$CO$116,2,))</f>
        <v/>
      </c>
      <c r="D61" s="10"/>
      <c r="E61" s="183"/>
      <c r="F61" s="184"/>
      <c r="G61" s="151" t="str">
        <f t="shared" si="15"/>
        <v/>
      </c>
      <c r="H61" s="957" t="str">
        <f t="shared" si="16"/>
        <v/>
      </c>
      <c r="I61" s="957" t="str">
        <f t="shared" si="17"/>
        <v/>
      </c>
      <c r="J61" s="152" t="str">
        <f>IF(C61="","",VLOOKUP(C61,Daten!$C$10:$M$116,6)/10)</f>
        <v/>
      </c>
      <c r="K61" s="153" t="str">
        <f>IF(C61="","",VLOOKUP(C61,Daten!$C$10:$M$116,9)/10)</f>
        <v/>
      </c>
      <c r="L61" s="103"/>
      <c r="M61" s="104" t="str">
        <f t="shared" si="18"/>
        <v/>
      </c>
      <c r="N61" s="154" t="str">
        <f t="shared" si="19"/>
        <v/>
      </c>
      <c r="O61" s="155" t="str">
        <f t="shared" si="20"/>
        <v/>
      </c>
      <c r="P61" s="156" t="str">
        <f t="shared" si="21"/>
        <v/>
      </c>
      <c r="Q61" s="51"/>
      <c r="R61" s="67"/>
      <c r="Z61" s="171"/>
    </row>
    <row r="62" spans="1:26" ht="15" customHeight="1" x14ac:dyDescent="0.2">
      <c r="A62" s="50"/>
      <c r="B62" s="54"/>
      <c r="C62" s="90" t="str">
        <f>IF(D62="","",VLOOKUP(D62,Daten!$CN$10:$CO$116,2,))</f>
        <v/>
      </c>
      <c r="D62" s="11"/>
      <c r="E62" s="182"/>
      <c r="F62" s="181"/>
      <c r="G62" s="148" t="str">
        <f t="shared" si="15"/>
        <v/>
      </c>
      <c r="H62" s="954" t="str">
        <f t="shared" si="16"/>
        <v/>
      </c>
      <c r="I62" s="954" t="str">
        <f t="shared" si="17"/>
        <v/>
      </c>
      <c r="J62" s="149" t="str">
        <f>IF(C62="","",VLOOKUP(C62,Daten!$C$10:$M$116,6)/10)</f>
        <v/>
      </c>
      <c r="K62" s="144" t="str">
        <f>IF(C62="","",VLOOKUP(C62,Daten!$C$10:$M$116,9)/10)</f>
        <v/>
      </c>
      <c r="L62" s="93"/>
      <c r="M62" s="94" t="str">
        <f t="shared" si="18"/>
        <v/>
      </c>
      <c r="N62" s="145" t="str">
        <f t="shared" si="19"/>
        <v/>
      </c>
      <c r="O62" s="150" t="str">
        <f t="shared" si="20"/>
        <v/>
      </c>
      <c r="P62" s="147" t="str">
        <f t="shared" si="21"/>
        <v/>
      </c>
      <c r="Q62" s="51"/>
      <c r="R62" s="67"/>
      <c r="Z62" s="171"/>
    </row>
    <row r="63" spans="1:26" ht="15" customHeight="1" x14ac:dyDescent="0.2">
      <c r="A63" s="50"/>
      <c r="B63" s="54"/>
      <c r="C63" s="90" t="str">
        <f>IF(D63="","",VLOOKUP(D63,Daten!$CN$10:$CO$116,2,))</f>
        <v/>
      </c>
      <c r="D63" s="11"/>
      <c r="E63" s="182"/>
      <c r="F63" s="181"/>
      <c r="G63" s="148" t="str">
        <f t="shared" si="15"/>
        <v/>
      </c>
      <c r="H63" s="954" t="str">
        <f t="shared" si="16"/>
        <v/>
      </c>
      <c r="I63" s="954" t="str">
        <f t="shared" si="17"/>
        <v/>
      </c>
      <c r="J63" s="149" t="str">
        <f>IF(C63="","",VLOOKUP(C63,Daten!$C$10:$M$116,6)/10)</f>
        <v/>
      </c>
      <c r="K63" s="144" t="str">
        <f>IF(C63="","",VLOOKUP(C63,Daten!$C$10:$M$116,9)/10)</f>
        <v/>
      </c>
      <c r="L63" s="93"/>
      <c r="M63" s="94" t="str">
        <f t="shared" si="18"/>
        <v/>
      </c>
      <c r="N63" s="145" t="str">
        <f t="shared" si="19"/>
        <v/>
      </c>
      <c r="O63" s="150" t="str">
        <f t="shared" si="20"/>
        <v/>
      </c>
      <c r="P63" s="147" t="str">
        <f t="shared" si="21"/>
        <v/>
      </c>
      <c r="Q63" s="51"/>
      <c r="R63" s="67"/>
      <c r="Z63" s="171"/>
    </row>
    <row r="64" spans="1:26" ht="15" customHeight="1" x14ac:dyDescent="0.2">
      <c r="A64" s="50"/>
      <c r="B64" s="54" t="str">
        <f t="shared" ref="B64:B71" si="22">IF(SUM(U64:Y64)&gt;0,"*","")</f>
        <v/>
      </c>
      <c r="C64" s="90" t="str">
        <f>IF(D64="","",VLOOKUP(D64,Daten!$CN$10:$CO$116,2,))</f>
        <v/>
      </c>
      <c r="D64" s="11"/>
      <c r="E64" s="182"/>
      <c r="F64" s="181"/>
      <c r="G64" s="148" t="str">
        <f t="shared" si="15"/>
        <v/>
      </c>
      <c r="H64" s="954" t="str">
        <f t="shared" si="16"/>
        <v/>
      </c>
      <c r="I64" s="954" t="str">
        <f t="shared" si="17"/>
        <v/>
      </c>
      <c r="J64" s="149" t="str">
        <f>IF(C64="","",VLOOKUP(C64,Daten!$C$10:$M$116,6)/10)</f>
        <v/>
      </c>
      <c r="K64" s="144" t="str">
        <f>IF(C64="","",VLOOKUP(C64,Daten!$C$10:$M$116,9)/10)</f>
        <v/>
      </c>
      <c r="L64" s="93" t="str">
        <f>IF(C64="","",VLOOKUP(C64,Daten!$BJ$9:$BQ$20,8))</f>
        <v/>
      </c>
      <c r="M64" s="94" t="str">
        <f t="shared" si="18"/>
        <v/>
      </c>
      <c r="N64" s="145" t="str">
        <f t="shared" si="19"/>
        <v/>
      </c>
      <c r="O64" s="150" t="str">
        <f t="shared" si="20"/>
        <v/>
      </c>
      <c r="P64" s="147" t="str">
        <f t="shared" si="21"/>
        <v/>
      </c>
      <c r="Q64" s="51"/>
      <c r="R64" s="67"/>
      <c r="Z64" s="171"/>
    </row>
    <row r="65" spans="1:26" ht="15" customHeight="1" x14ac:dyDescent="0.2">
      <c r="A65" s="50"/>
      <c r="B65" s="54" t="str">
        <f t="shared" si="22"/>
        <v/>
      </c>
      <c r="C65" s="90" t="str">
        <f>IF(D65="","",VLOOKUP(D65,Daten!$CN$10:$CO$116,2,))</f>
        <v/>
      </c>
      <c r="D65" s="11"/>
      <c r="E65" s="182"/>
      <c r="F65" s="181"/>
      <c r="G65" s="148" t="str">
        <f t="shared" si="15"/>
        <v/>
      </c>
      <c r="H65" s="954" t="str">
        <f t="shared" si="16"/>
        <v/>
      </c>
      <c r="I65" s="954" t="str">
        <f t="shared" si="17"/>
        <v/>
      </c>
      <c r="J65" s="149" t="str">
        <f>IF(C65="","",VLOOKUP(C65,Daten!$C$10:$M$116,6)/10)</f>
        <v/>
      </c>
      <c r="K65" s="144" t="str">
        <f>IF(C65="","",VLOOKUP(C65,Daten!$C$10:$M$116,9)/10)</f>
        <v/>
      </c>
      <c r="L65" s="93" t="str">
        <f>IF(C65="","",VLOOKUP(C65,Daten!$BJ$9:$BQ$20,8))</f>
        <v/>
      </c>
      <c r="M65" s="94" t="str">
        <f t="shared" si="18"/>
        <v/>
      </c>
      <c r="N65" s="145" t="str">
        <f t="shared" si="19"/>
        <v/>
      </c>
      <c r="O65" s="150" t="str">
        <f t="shared" si="20"/>
        <v/>
      </c>
      <c r="P65" s="147" t="str">
        <f t="shared" si="21"/>
        <v/>
      </c>
      <c r="Q65" s="51"/>
      <c r="R65" s="67"/>
      <c r="Z65" s="171"/>
    </row>
    <row r="66" spans="1:26" ht="15" customHeight="1" x14ac:dyDescent="0.2">
      <c r="A66" s="50"/>
      <c r="B66" s="54" t="str">
        <f t="shared" si="22"/>
        <v/>
      </c>
      <c r="C66" s="90" t="str">
        <f>IF(D66="","",VLOOKUP(D66,Daten!$CN$10:$CO$116,2,))</f>
        <v/>
      </c>
      <c r="D66" s="8"/>
      <c r="E66" s="185"/>
      <c r="F66" s="186"/>
      <c r="G66" s="157" t="str">
        <f t="shared" si="15"/>
        <v/>
      </c>
      <c r="H66" s="959" t="str">
        <f t="shared" si="16"/>
        <v/>
      </c>
      <c r="I66" s="959" t="str">
        <f t="shared" si="17"/>
        <v/>
      </c>
      <c r="J66" s="158" t="str">
        <f>IF(C66="","",VLOOKUP(C66,Daten!$C$10:$M$116,6)/10)</f>
        <v/>
      </c>
      <c r="K66" s="159" t="str">
        <f>IF(C66="","",VLOOKUP(C66,Daten!$C$10:$M$116,9)/10)</f>
        <v/>
      </c>
      <c r="L66" s="110"/>
      <c r="M66" s="111" t="str">
        <f t="shared" si="18"/>
        <v/>
      </c>
      <c r="N66" s="160" t="str">
        <f t="shared" si="19"/>
        <v/>
      </c>
      <c r="O66" s="161" t="str">
        <f t="shared" si="20"/>
        <v/>
      </c>
      <c r="P66" s="162" t="str">
        <f t="shared" si="21"/>
        <v/>
      </c>
      <c r="Q66" s="51"/>
      <c r="R66" s="67"/>
      <c r="Z66" s="171"/>
    </row>
    <row r="67" spans="1:26" ht="15" customHeight="1" x14ac:dyDescent="0.2">
      <c r="A67" s="50"/>
      <c r="B67" s="54" t="str">
        <f t="shared" si="22"/>
        <v/>
      </c>
      <c r="C67" s="67"/>
      <c r="D67" s="164" t="s">
        <v>57</v>
      </c>
      <c r="E67" s="125"/>
      <c r="F67" s="125"/>
      <c r="G67" s="187">
        <f>SUM(G52:G66)</f>
        <v>17250</v>
      </c>
      <c r="H67" s="960">
        <f>SUM(H52:H66)</f>
        <v>-76250</v>
      </c>
      <c r="I67" s="960"/>
      <c r="J67" s="165"/>
      <c r="K67" s="165"/>
      <c r="L67" s="166"/>
      <c r="M67" s="167">
        <f>SUM(M52:M66)</f>
        <v>444.75</v>
      </c>
      <c r="N67" s="168">
        <f>SUM(N52:N66)</f>
        <v>209.02500000000001</v>
      </c>
      <c r="O67" s="169">
        <f>SUM(O52:O66)</f>
        <v>1967.75</v>
      </c>
      <c r="P67" s="170">
        <f>SUM(P52:P66)</f>
        <v>928.125</v>
      </c>
      <c r="Q67" s="55"/>
      <c r="R67" s="67"/>
    </row>
    <row r="68" spans="1:26" ht="18" customHeight="1" x14ac:dyDescent="0.2">
      <c r="A68" s="50"/>
      <c r="B68" s="54" t="str">
        <f t="shared" si="22"/>
        <v/>
      </c>
      <c r="C68" s="188"/>
      <c r="D68" s="164"/>
      <c r="E68" s="125"/>
      <c r="F68" s="125"/>
      <c r="G68" s="172"/>
      <c r="H68" s="173"/>
      <c r="I68" s="125"/>
      <c r="J68" s="172"/>
      <c r="K68" s="172"/>
      <c r="L68" s="172"/>
      <c r="M68" s="174"/>
      <c r="N68" s="174"/>
      <c r="O68" s="174"/>
      <c r="P68" s="175"/>
      <c r="Q68" s="55"/>
      <c r="R68" s="67"/>
    </row>
    <row r="69" spans="1:26" ht="18" customHeight="1" x14ac:dyDescent="0.2">
      <c r="A69" s="50"/>
      <c r="B69" s="54" t="str">
        <f t="shared" si="22"/>
        <v/>
      </c>
      <c r="C69" s="948" t="s">
        <v>55</v>
      </c>
      <c r="D69" s="931" t="s">
        <v>64</v>
      </c>
      <c r="E69" s="931"/>
      <c r="F69" s="931"/>
      <c r="G69" s="931"/>
      <c r="H69" s="931"/>
      <c r="I69" s="931"/>
      <c r="J69" s="931"/>
      <c r="K69" s="931"/>
      <c r="L69" s="931"/>
      <c r="M69" s="931"/>
      <c r="N69" s="931"/>
      <c r="O69" s="931"/>
      <c r="P69" s="931"/>
      <c r="Q69" s="51"/>
      <c r="R69" s="67"/>
    </row>
    <row r="70" spans="1:26" ht="15" customHeight="1" x14ac:dyDescent="0.2">
      <c r="A70" s="50"/>
      <c r="B70" s="54" t="str">
        <f t="shared" si="22"/>
        <v/>
      </c>
      <c r="C70" s="948"/>
      <c r="D70" s="79"/>
      <c r="E70" s="80"/>
      <c r="F70" s="80"/>
      <c r="G70" s="932" t="s">
        <v>28</v>
      </c>
      <c r="H70" s="932"/>
      <c r="I70" s="932"/>
      <c r="J70" s="933" t="s">
        <v>29</v>
      </c>
      <c r="K70" s="933"/>
      <c r="L70" s="81"/>
      <c r="M70" s="934" t="s">
        <v>30</v>
      </c>
      <c r="N70" s="934"/>
      <c r="O70" s="934" t="s">
        <v>31</v>
      </c>
      <c r="P70" s="934"/>
      <c r="Q70" s="51"/>
      <c r="R70" s="67"/>
    </row>
    <row r="71" spans="1:26" ht="15" customHeight="1" x14ac:dyDescent="0.2">
      <c r="A71" s="50"/>
      <c r="B71" s="54" t="str">
        <f t="shared" si="22"/>
        <v/>
      </c>
      <c r="C71" s="90" t="str">
        <f>IF(D244="","",VLOOKUP(D244,Daten!$CZ$10:$DA$22,2,))</f>
        <v/>
      </c>
      <c r="D71" s="951" t="s">
        <v>33</v>
      </c>
      <c r="E71" s="951"/>
      <c r="F71" s="951"/>
      <c r="G71" s="84" t="s">
        <v>65</v>
      </c>
      <c r="H71" s="936" t="s">
        <v>66</v>
      </c>
      <c r="I71" s="936"/>
      <c r="J71" s="85" t="s">
        <v>36</v>
      </c>
      <c r="K71" s="86" t="s">
        <v>37</v>
      </c>
      <c r="L71" s="87" t="s">
        <v>38</v>
      </c>
      <c r="M71" s="88" t="s">
        <v>39</v>
      </c>
      <c r="N71" s="89" t="s">
        <v>40</v>
      </c>
      <c r="O71" s="88" t="s">
        <v>39</v>
      </c>
      <c r="P71" s="89" t="s">
        <v>40</v>
      </c>
      <c r="Q71" s="51"/>
      <c r="R71" s="67"/>
      <c r="T71" s="17"/>
    </row>
    <row r="72" spans="1:26" ht="15" customHeight="1" x14ac:dyDescent="0.2">
      <c r="A72" s="50"/>
      <c r="B72" s="54"/>
      <c r="C72" s="189">
        <f>IF(D72="","",VLOOKUP(D72,Daten!$CX$10:$CY$70,2,))</f>
        <v>25</v>
      </c>
      <c r="D72" s="953" t="s">
        <v>67</v>
      </c>
      <c r="E72" s="953"/>
      <c r="F72" s="953"/>
      <c r="G72" s="142">
        <v>20000</v>
      </c>
      <c r="H72" s="941"/>
      <c r="I72" s="941"/>
      <c r="J72" s="144">
        <f>IF(C72="","",VLOOKUP(C72,Daten!$BJ$10:$BQ$69,6))</f>
        <v>6.1</v>
      </c>
      <c r="K72" s="144">
        <f>IF(C72="","",VLOOKUP(C72,Daten!$BJ$10:$BQ$2169,7))</f>
        <v>2.75</v>
      </c>
      <c r="L72" s="93" t="str">
        <f>IF(C44="","",VLOOKUP(C44,Daten!$BS$9:$BY$20,7))</f>
        <v/>
      </c>
      <c r="M72" s="94">
        <f t="shared" ref="M72:M86" si="23">IF(C72="","",$G72*J72/100)</f>
        <v>1220</v>
      </c>
      <c r="N72" s="145">
        <f t="shared" ref="N72:N86" si="24">IF(C72="","",$G72*K72/100)</f>
        <v>550</v>
      </c>
      <c r="O72" s="146">
        <f t="shared" ref="O72:O86" si="25">IF(C72="","",$H72*J72/100)</f>
        <v>0</v>
      </c>
      <c r="P72" s="147">
        <f t="shared" ref="P72:P86" si="26">IF(C72="","",$H72*K72/100)</f>
        <v>0</v>
      </c>
      <c r="Q72" s="51"/>
      <c r="R72" s="67"/>
      <c r="T72" s="17"/>
    </row>
    <row r="73" spans="1:26" ht="15" customHeight="1" x14ac:dyDescent="0.2">
      <c r="A73" s="50"/>
      <c r="B73" s="54"/>
      <c r="C73" s="189">
        <f>IF(D73="","",VLOOKUP(D73,Daten!$CX$10:$CY$70,2,))</f>
        <v>40</v>
      </c>
      <c r="D73" s="955" t="s">
        <v>68</v>
      </c>
      <c r="E73" s="955"/>
      <c r="F73" s="955"/>
      <c r="G73" s="148">
        <v>50000</v>
      </c>
      <c r="H73" s="941"/>
      <c r="I73" s="941"/>
      <c r="J73" s="144">
        <f>IF(C73="","",VLOOKUP(C73,Daten!$BJ$10:$BQ$69,6))</f>
        <v>2.56</v>
      </c>
      <c r="K73" s="144">
        <f>IF(C73="","",VLOOKUP(C73,Daten!$BJ$10:$BQ$2169,7))</f>
        <v>2.98</v>
      </c>
      <c r="L73" s="93"/>
      <c r="M73" s="94">
        <f t="shared" si="23"/>
        <v>1280</v>
      </c>
      <c r="N73" s="145">
        <f t="shared" si="24"/>
        <v>1490</v>
      </c>
      <c r="O73" s="150">
        <f t="shared" si="25"/>
        <v>0</v>
      </c>
      <c r="P73" s="147">
        <f t="shared" si="26"/>
        <v>0</v>
      </c>
      <c r="Q73" s="51"/>
      <c r="R73" s="67"/>
      <c r="T73" s="17"/>
    </row>
    <row r="74" spans="1:26" ht="15" customHeight="1" x14ac:dyDescent="0.2">
      <c r="A74" s="50"/>
      <c r="B74" s="54"/>
      <c r="C74" s="189" t="str">
        <f>IF(D74="","",VLOOKUP(D74,Daten!$CX$10:$CY$70,2,))</f>
        <v/>
      </c>
      <c r="D74" s="955"/>
      <c r="E74" s="955"/>
      <c r="F74" s="955"/>
      <c r="G74" s="148"/>
      <c r="H74" s="941"/>
      <c r="I74" s="941"/>
      <c r="J74" s="144" t="str">
        <f>IF(C74="","",VLOOKUP(C74,Daten!$BJ$10:$BQ$69,6))</f>
        <v/>
      </c>
      <c r="K74" s="144" t="str">
        <f>IF(C74="","",VLOOKUP(C74,Daten!$BJ$10:$BQ$2169,7))</f>
        <v/>
      </c>
      <c r="L74" s="93"/>
      <c r="M74" s="94" t="str">
        <f t="shared" si="23"/>
        <v/>
      </c>
      <c r="N74" s="145" t="str">
        <f t="shared" si="24"/>
        <v/>
      </c>
      <c r="O74" s="150" t="str">
        <f t="shared" si="25"/>
        <v/>
      </c>
      <c r="P74" s="147" t="str">
        <f t="shared" si="26"/>
        <v/>
      </c>
      <c r="Q74" s="51"/>
      <c r="R74" s="67"/>
      <c r="T74" s="17"/>
    </row>
    <row r="75" spans="1:26" ht="15" customHeight="1" x14ac:dyDescent="0.2">
      <c r="A75" s="50"/>
      <c r="B75" s="54"/>
      <c r="C75" s="189" t="str">
        <f>IF(D75="","",VLOOKUP(D75,Daten!$CX$10:$CY$70,2,))</f>
        <v/>
      </c>
      <c r="D75" s="955"/>
      <c r="E75" s="955"/>
      <c r="F75" s="955"/>
      <c r="G75" s="148"/>
      <c r="H75" s="941"/>
      <c r="I75" s="941"/>
      <c r="J75" s="144" t="str">
        <f>IF(C75="","",VLOOKUP(C75,Daten!$BJ$10:$BQ$69,6))</f>
        <v/>
      </c>
      <c r="K75" s="144" t="str">
        <f>IF(C75="","",VLOOKUP(C75,Daten!$BJ$10:$BQ$2169,7))</f>
        <v/>
      </c>
      <c r="L75" s="93"/>
      <c r="M75" s="94" t="str">
        <f t="shared" si="23"/>
        <v/>
      </c>
      <c r="N75" s="145" t="str">
        <f t="shared" si="24"/>
        <v/>
      </c>
      <c r="O75" s="150" t="str">
        <f t="shared" si="25"/>
        <v/>
      </c>
      <c r="P75" s="147" t="str">
        <f t="shared" si="26"/>
        <v/>
      </c>
      <c r="Q75" s="51"/>
      <c r="R75" s="67"/>
      <c r="T75" s="17"/>
    </row>
    <row r="76" spans="1:26" ht="15" customHeight="1" x14ac:dyDescent="0.2">
      <c r="A76" s="50"/>
      <c r="B76" s="54"/>
      <c r="C76" s="189" t="str">
        <f>IF(D76="","",VLOOKUP(D76,Daten!$CX$10:$CY$70,2,))</f>
        <v/>
      </c>
      <c r="D76" s="956"/>
      <c r="E76" s="956"/>
      <c r="F76" s="956"/>
      <c r="G76" s="151"/>
      <c r="H76" s="943"/>
      <c r="I76" s="943"/>
      <c r="J76" s="153" t="str">
        <f>IF(C76="","",VLOOKUP(C76,Daten!$BJ$10:$BQ$69,6))</f>
        <v/>
      </c>
      <c r="K76" s="153" t="str">
        <f>IF(C76="","",VLOOKUP(C76,Daten!$BJ$10:$BQ$2169,7))</f>
        <v/>
      </c>
      <c r="L76" s="103"/>
      <c r="M76" s="104" t="str">
        <f t="shared" si="23"/>
        <v/>
      </c>
      <c r="N76" s="154" t="str">
        <f t="shared" si="24"/>
        <v/>
      </c>
      <c r="O76" s="155" t="str">
        <f t="shared" si="25"/>
        <v/>
      </c>
      <c r="P76" s="156" t="str">
        <f t="shared" si="26"/>
        <v/>
      </c>
      <c r="Q76" s="51"/>
      <c r="R76" s="67"/>
      <c r="T76" s="17"/>
    </row>
    <row r="77" spans="1:26" ht="15" customHeight="1" x14ac:dyDescent="0.2">
      <c r="A77" s="50"/>
      <c r="B77" s="54"/>
      <c r="C77" s="189" t="str">
        <f>IF(D77="","",VLOOKUP(D77,Daten!$CX$10:$CY$70,2,))</f>
        <v/>
      </c>
      <c r="D77" s="955"/>
      <c r="E77" s="955"/>
      <c r="F77" s="955"/>
      <c r="G77" s="148"/>
      <c r="H77" s="941"/>
      <c r="I77" s="941"/>
      <c r="J77" s="144" t="str">
        <f>IF(C77="","",VLOOKUP(C77,Daten!$BJ$10:$BQ$69,6))</f>
        <v/>
      </c>
      <c r="K77" s="144" t="str">
        <f>IF(C77="","",VLOOKUP(C77,Daten!$BJ$10:$BQ$2169,7))</f>
        <v/>
      </c>
      <c r="L77" s="93"/>
      <c r="M77" s="94" t="str">
        <f t="shared" si="23"/>
        <v/>
      </c>
      <c r="N77" s="145" t="str">
        <f t="shared" si="24"/>
        <v/>
      </c>
      <c r="O77" s="150" t="str">
        <f t="shared" si="25"/>
        <v/>
      </c>
      <c r="P77" s="147" t="str">
        <f t="shared" si="26"/>
        <v/>
      </c>
      <c r="Q77" s="51"/>
      <c r="R77" s="67"/>
      <c r="T77" s="17"/>
    </row>
    <row r="78" spans="1:26" ht="15" customHeight="1" x14ac:dyDescent="0.2">
      <c r="A78" s="50"/>
      <c r="B78" s="54"/>
      <c r="C78" s="189" t="str">
        <f>IF(D78="","",VLOOKUP(D78,Daten!$CX$10:$CY$70,2,))</f>
        <v/>
      </c>
      <c r="D78" s="955"/>
      <c r="E78" s="955"/>
      <c r="F78" s="955"/>
      <c r="G78" s="148"/>
      <c r="H78" s="941"/>
      <c r="I78" s="941"/>
      <c r="J78" s="144" t="str">
        <f>IF(C78="","",VLOOKUP(C78,Daten!$BJ$10:$BQ$69,6))</f>
        <v/>
      </c>
      <c r="K78" s="144" t="str">
        <f>IF(C78="","",VLOOKUP(C78,Daten!$BJ$10:$BQ$2169,7))</f>
        <v/>
      </c>
      <c r="L78" s="93"/>
      <c r="M78" s="94" t="str">
        <f t="shared" si="23"/>
        <v/>
      </c>
      <c r="N78" s="145" t="str">
        <f t="shared" si="24"/>
        <v/>
      </c>
      <c r="O78" s="150" t="str">
        <f t="shared" si="25"/>
        <v/>
      </c>
      <c r="P78" s="147" t="str">
        <f t="shared" si="26"/>
        <v/>
      </c>
      <c r="Q78" s="51"/>
      <c r="R78" s="67"/>
      <c r="T78" s="17"/>
    </row>
    <row r="79" spans="1:26" ht="15" customHeight="1" x14ac:dyDescent="0.2">
      <c r="A79" s="50"/>
      <c r="B79" s="54"/>
      <c r="C79" s="189" t="str">
        <f>IF(D79="","",VLOOKUP(D79,Daten!$CX$10:$CY$70,2,))</f>
        <v/>
      </c>
      <c r="D79" s="955"/>
      <c r="E79" s="955"/>
      <c r="F79" s="955"/>
      <c r="G79" s="148"/>
      <c r="H79" s="941"/>
      <c r="I79" s="941"/>
      <c r="J79" s="144" t="str">
        <f>IF(C79="","",VLOOKUP(C79,Daten!$BJ$10:$BQ$69,6))</f>
        <v/>
      </c>
      <c r="K79" s="144" t="str">
        <f>IF(C79="","",VLOOKUP(C79,Daten!$BJ$10:$BQ$2169,7))</f>
        <v/>
      </c>
      <c r="L79" s="93"/>
      <c r="M79" s="94" t="str">
        <f t="shared" si="23"/>
        <v/>
      </c>
      <c r="N79" s="145" t="str">
        <f t="shared" si="24"/>
        <v/>
      </c>
      <c r="O79" s="150" t="str">
        <f t="shared" si="25"/>
        <v/>
      </c>
      <c r="P79" s="147" t="str">
        <f t="shared" si="26"/>
        <v/>
      </c>
      <c r="Q79" s="51"/>
      <c r="R79" s="67"/>
      <c r="T79" s="17"/>
    </row>
    <row r="80" spans="1:26" ht="15" customHeight="1" x14ac:dyDescent="0.2">
      <c r="A80" s="50"/>
      <c r="B80" s="54"/>
      <c r="C80" s="189" t="str">
        <f>IF(D80="","",VLOOKUP(D80,Daten!$CX$10:$CY$70,2,))</f>
        <v/>
      </c>
      <c r="D80" s="955"/>
      <c r="E80" s="955"/>
      <c r="F80" s="955"/>
      <c r="G80" s="148"/>
      <c r="H80" s="941"/>
      <c r="I80" s="941"/>
      <c r="J80" s="144" t="str">
        <f>IF(C80="","",VLOOKUP(C80,Daten!$BJ$10:$BQ$69,6))</f>
        <v/>
      </c>
      <c r="K80" s="144" t="str">
        <f>IF(C80="","",VLOOKUP(C80,Daten!$BJ$10:$BQ$2169,7))</f>
        <v/>
      </c>
      <c r="L80" s="93"/>
      <c r="M80" s="94" t="str">
        <f t="shared" si="23"/>
        <v/>
      </c>
      <c r="N80" s="145" t="str">
        <f t="shared" si="24"/>
        <v/>
      </c>
      <c r="O80" s="150" t="str">
        <f t="shared" si="25"/>
        <v/>
      </c>
      <c r="P80" s="147" t="str">
        <f t="shared" si="26"/>
        <v/>
      </c>
      <c r="Q80" s="51"/>
      <c r="R80" s="67"/>
      <c r="T80" s="17"/>
    </row>
    <row r="81" spans="1:26" ht="15" customHeight="1" x14ac:dyDescent="0.2">
      <c r="A81" s="50"/>
      <c r="B81" s="54"/>
      <c r="C81" s="189" t="str">
        <f>IF(D81="","",VLOOKUP(D81,Daten!$CX$10:$CY$70,2,))</f>
        <v/>
      </c>
      <c r="D81" s="956"/>
      <c r="E81" s="956"/>
      <c r="F81" s="956"/>
      <c r="G81" s="151"/>
      <c r="H81" s="943"/>
      <c r="I81" s="943"/>
      <c r="J81" s="153" t="str">
        <f>IF(C81="","",VLOOKUP(C81,Daten!$BJ$10:$BQ$69,6))</f>
        <v/>
      </c>
      <c r="K81" s="153" t="str">
        <f>IF(C81="","",VLOOKUP(C81,Daten!$BJ$10:$BQ$2169,7))</f>
        <v/>
      </c>
      <c r="L81" s="103"/>
      <c r="M81" s="104" t="str">
        <f t="shared" si="23"/>
        <v/>
      </c>
      <c r="N81" s="154" t="str">
        <f t="shared" si="24"/>
        <v/>
      </c>
      <c r="O81" s="155" t="str">
        <f t="shared" si="25"/>
        <v/>
      </c>
      <c r="P81" s="156" t="str">
        <f t="shared" si="26"/>
        <v/>
      </c>
      <c r="Q81" s="51"/>
      <c r="R81" s="67"/>
      <c r="T81" s="17"/>
    </row>
    <row r="82" spans="1:26" ht="15" customHeight="1" x14ac:dyDescent="0.2">
      <c r="A82" s="50"/>
      <c r="B82" s="54"/>
      <c r="C82" s="189" t="str">
        <f>IF(D82="","",VLOOKUP(D82,Daten!$CX$10:$CY$70,2,))</f>
        <v/>
      </c>
      <c r="D82" s="955"/>
      <c r="E82" s="955"/>
      <c r="F82" s="955"/>
      <c r="G82" s="148"/>
      <c r="H82" s="941"/>
      <c r="I82" s="941"/>
      <c r="J82" s="144" t="str">
        <f>IF(C82="","",VLOOKUP(C82,Daten!$BJ$10:$BQ$69,6))</f>
        <v/>
      </c>
      <c r="K82" s="144" t="str">
        <f>IF(C82="","",VLOOKUP(C82,Daten!$BJ$10:$BQ$2169,7))</f>
        <v/>
      </c>
      <c r="L82" s="93"/>
      <c r="M82" s="94" t="str">
        <f t="shared" si="23"/>
        <v/>
      </c>
      <c r="N82" s="145" t="str">
        <f t="shared" si="24"/>
        <v/>
      </c>
      <c r="O82" s="150" t="str">
        <f t="shared" si="25"/>
        <v/>
      </c>
      <c r="P82" s="147" t="str">
        <f t="shared" si="26"/>
        <v/>
      </c>
      <c r="Q82" s="51"/>
      <c r="R82" s="67"/>
      <c r="T82" s="17"/>
    </row>
    <row r="83" spans="1:26" ht="15" customHeight="1" x14ac:dyDescent="0.2">
      <c r="A83" s="50"/>
      <c r="B83" s="54"/>
      <c r="C83" s="189" t="str">
        <f>IF(D83="","",VLOOKUP(D83,Daten!$CX$10:$CY$70,2,))</f>
        <v/>
      </c>
      <c r="D83" s="955"/>
      <c r="E83" s="955"/>
      <c r="F83" s="955"/>
      <c r="G83" s="148"/>
      <c r="H83" s="941"/>
      <c r="I83" s="941"/>
      <c r="J83" s="144" t="str">
        <f>IF(C83="","",VLOOKUP(C83,Daten!$BJ$10:$BQ$69,6))</f>
        <v/>
      </c>
      <c r="K83" s="144" t="str">
        <f>IF(C83="","",VLOOKUP(C83,Daten!$BJ$10:$BQ$2169,7))</f>
        <v/>
      </c>
      <c r="L83" s="93"/>
      <c r="M83" s="94" t="str">
        <f t="shared" si="23"/>
        <v/>
      </c>
      <c r="N83" s="145" t="str">
        <f t="shared" si="24"/>
        <v/>
      </c>
      <c r="O83" s="150" t="str">
        <f t="shared" si="25"/>
        <v/>
      </c>
      <c r="P83" s="147" t="str">
        <f t="shared" si="26"/>
        <v/>
      </c>
      <c r="Q83" s="51"/>
      <c r="R83" s="67"/>
      <c r="T83" s="17"/>
    </row>
    <row r="84" spans="1:26" ht="15" customHeight="1" x14ac:dyDescent="0.2">
      <c r="A84" s="50"/>
      <c r="B84" s="54" t="str">
        <f t="shared" ref="B84:B94" si="27">IF(SUM(U84:Y84)&gt;0,"*","")</f>
        <v/>
      </c>
      <c r="C84" s="189" t="str">
        <f>IF(D84="","",VLOOKUP(D84,Daten!$CX$10:$CY$70,2,))</f>
        <v/>
      </c>
      <c r="D84" s="955"/>
      <c r="E84" s="955"/>
      <c r="F84" s="955"/>
      <c r="G84" s="148"/>
      <c r="H84" s="941"/>
      <c r="I84" s="941"/>
      <c r="J84" s="144" t="str">
        <f>IF(C84="","",VLOOKUP(C84,Daten!$BJ$10:$BQ$69,6))</f>
        <v/>
      </c>
      <c r="K84" s="144" t="str">
        <f>IF(C84="","",VLOOKUP(C84,Daten!$BJ$10:$BQ$2169,7))</f>
        <v/>
      </c>
      <c r="L84" s="93"/>
      <c r="M84" s="94" t="str">
        <f t="shared" si="23"/>
        <v/>
      </c>
      <c r="N84" s="145" t="str">
        <f t="shared" si="24"/>
        <v/>
      </c>
      <c r="O84" s="150" t="str">
        <f t="shared" si="25"/>
        <v/>
      </c>
      <c r="P84" s="147" t="str">
        <f t="shared" si="26"/>
        <v/>
      </c>
      <c r="Q84" s="51"/>
      <c r="R84" s="67"/>
      <c r="T84" s="17"/>
    </row>
    <row r="85" spans="1:26" ht="15" customHeight="1" x14ac:dyDescent="0.2">
      <c r="A85" s="50"/>
      <c r="B85" s="54" t="str">
        <f t="shared" si="27"/>
        <v/>
      </c>
      <c r="C85" s="189" t="str">
        <f>IF(D85="","",VLOOKUP(D85,Daten!$CX$10:$CY$70,2,))</f>
        <v/>
      </c>
      <c r="D85" s="955"/>
      <c r="E85" s="955"/>
      <c r="F85" s="955"/>
      <c r="G85" s="148"/>
      <c r="H85" s="941"/>
      <c r="I85" s="941"/>
      <c r="J85" s="144" t="str">
        <f>IF(C85="","",VLOOKUP(C85,Daten!$BJ$10:$BQ$69,6))</f>
        <v/>
      </c>
      <c r="K85" s="144" t="str">
        <f>IF(C85="","",VLOOKUP(C85,Daten!$BJ$10:$BQ$2169,7))</f>
        <v/>
      </c>
      <c r="L85" s="93" t="str">
        <f>IF(C47="","",VLOOKUP(C47,Daten!$BJ$9:$BQ$20,8))</f>
        <v/>
      </c>
      <c r="M85" s="94" t="str">
        <f t="shared" si="23"/>
        <v/>
      </c>
      <c r="N85" s="145" t="str">
        <f t="shared" si="24"/>
        <v/>
      </c>
      <c r="O85" s="150" t="str">
        <f t="shared" si="25"/>
        <v/>
      </c>
      <c r="P85" s="147" t="str">
        <f t="shared" si="26"/>
        <v/>
      </c>
      <c r="Q85" s="51"/>
      <c r="R85" s="67"/>
      <c r="T85" s="17"/>
    </row>
    <row r="86" spans="1:26" ht="15" customHeight="1" x14ac:dyDescent="0.2">
      <c r="A86" s="50"/>
      <c r="B86" s="54" t="str">
        <f t="shared" si="27"/>
        <v/>
      </c>
      <c r="C86" s="189" t="str">
        <f>IF(D86="","",VLOOKUP(D86,Daten!$CX$10:$CY$70,2,))</f>
        <v/>
      </c>
      <c r="D86" s="958"/>
      <c r="E86" s="958"/>
      <c r="F86" s="958"/>
      <c r="G86" s="157"/>
      <c r="H86" s="945"/>
      <c r="I86" s="945"/>
      <c r="J86" s="159" t="str">
        <f>IF(C86="","",VLOOKUP(C86,Daten!$BJ$10:$BQ$69,6))</f>
        <v/>
      </c>
      <c r="K86" s="159" t="str">
        <f>IF(C86="","",VLOOKUP(C86,Daten!$BJ$10:$BQ$2169,7))</f>
        <v/>
      </c>
      <c r="L86" s="110" t="str">
        <f>IF(C48="","",VLOOKUP(C48,Daten!$BJ$9:$BQ$20,8))</f>
        <v/>
      </c>
      <c r="M86" s="111" t="str">
        <f t="shared" si="23"/>
        <v/>
      </c>
      <c r="N86" s="160" t="str">
        <f t="shared" si="24"/>
        <v/>
      </c>
      <c r="O86" s="161" t="str">
        <f t="shared" si="25"/>
        <v/>
      </c>
      <c r="P86" s="162" t="str">
        <f t="shared" si="26"/>
        <v/>
      </c>
      <c r="Q86" s="51"/>
      <c r="R86" s="67"/>
      <c r="Z86" s="171"/>
    </row>
    <row r="87" spans="1:26" ht="15" customHeight="1" x14ac:dyDescent="0.2">
      <c r="A87" s="50"/>
      <c r="B87" s="54" t="str">
        <f t="shared" si="27"/>
        <v/>
      </c>
      <c r="C87" s="67"/>
      <c r="D87" s="164" t="s">
        <v>57</v>
      </c>
      <c r="E87" s="125"/>
      <c r="F87" s="125"/>
      <c r="G87" s="7">
        <f>SUM(G72:G86)</f>
        <v>70000</v>
      </c>
      <c r="H87" s="960">
        <f>SUM(H72:H86)</f>
        <v>0</v>
      </c>
      <c r="I87" s="960"/>
      <c r="J87" s="165"/>
      <c r="K87" s="165"/>
      <c r="L87" s="166"/>
      <c r="M87" s="167">
        <f>SUM(M72:M86)</f>
        <v>2500</v>
      </c>
      <c r="N87" s="168">
        <f>SUM(N72:N86)</f>
        <v>2040</v>
      </c>
      <c r="O87" s="169">
        <f>SUM(O72:O86)</f>
        <v>0</v>
      </c>
      <c r="P87" s="190">
        <f>SUM(P72:P86)</f>
        <v>0</v>
      </c>
      <c r="Q87" s="55"/>
      <c r="R87" s="67"/>
    </row>
    <row r="88" spans="1:26" ht="18" customHeight="1" x14ac:dyDescent="0.2">
      <c r="A88" s="50"/>
      <c r="B88" s="54" t="str">
        <f t="shared" si="27"/>
        <v/>
      </c>
      <c r="C88" s="188"/>
      <c r="D88" s="164"/>
      <c r="E88" s="125"/>
      <c r="F88" s="125"/>
      <c r="G88" s="172"/>
      <c r="H88" s="173"/>
      <c r="I88" s="125"/>
      <c r="J88" s="172"/>
      <c r="K88" s="172"/>
      <c r="L88" s="172"/>
      <c r="M88" s="174"/>
      <c r="N88" s="174"/>
      <c r="O88" s="174"/>
      <c r="P88" s="175"/>
      <c r="Q88" s="55"/>
      <c r="R88" s="67"/>
    </row>
    <row r="89" spans="1:26" ht="18" customHeight="1" x14ac:dyDescent="0.2">
      <c r="A89" s="50"/>
      <c r="B89" s="54" t="str">
        <f t="shared" si="27"/>
        <v/>
      </c>
      <c r="C89" s="961" t="s">
        <v>55</v>
      </c>
      <c r="D89" s="931" t="s">
        <v>69</v>
      </c>
      <c r="E89" s="931"/>
      <c r="F89" s="931"/>
      <c r="G89" s="931"/>
      <c r="H89" s="931"/>
      <c r="I89" s="931"/>
      <c r="J89" s="931"/>
      <c r="K89" s="931"/>
      <c r="L89" s="931"/>
      <c r="M89" s="931"/>
      <c r="N89" s="931"/>
      <c r="O89" s="931"/>
      <c r="P89" s="931"/>
      <c r="R89" s="67"/>
    </row>
    <row r="90" spans="1:26" ht="15" customHeight="1" x14ac:dyDescent="0.2">
      <c r="A90" s="50"/>
      <c r="B90" s="54" t="str">
        <f t="shared" si="27"/>
        <v/>
      </c>
      <c r="C90" s="961"/>
      <c r="D90" s="79"/>
      <c r="E90" s="80"/>
      <c r="F90" s="80"/>
      <c r="G90" s="932" t="s">
        <v>28</v>
      </c>
      <c r="H90" s="932"/>
      <c r="I90" s="932"/>
      <c r="J90" s="933" t="s">
        <v>29</v>
      </c>
      <c r="K90" s="933"/>
      <c r="L90" s="81"/>
      <c r="M90" s="934" t="s">
        <v>30</v>
      </c>
      <c r="N90" s="934"/>
      <c r="O90" s="934" t="s">
        <v>31</v>
      </c>
      <c r="P90" s="934"/>
      <c r="R90" s="67"/>
    </row>
    <row r="91" spans="1:26" ht="15" customHeight="1" x14ac:dyDescent="0.2">
      <c r="A91" s="50"/>
      <c r="B91" s="54" t="str">
        <f t="shared" si="27"/>
        <v/>
      </c>
      <c r="C91" s="98" t="str">
        <f>IF(D254="","",VLOOKUP(D254,Daten!$CR$10:$CS$59,2,))</f>
        <v/>
      </c>
      <c r="D91" s="951" t="s">
        <v>33</v>
      </c>
      <c r="E91" s="951"/>
      <c r="F91" s="951"/>
      <c r="G91" s="84" t="s">
        <v>34</v>
      </c>
      <c r="H91" s="936" t="s">
        <v>35</v>
      </c>
      <c r="I91" s="936"/>
      <c r="J91" s="85" t="s">
        <v>36</v>
      </c>
      <c r="K91" s="86" t="s">
        <v>37</v>
      </c>
      <c r="L91" s="87" t="s">
        <v>38</v>
      </c>
      <c r="M91" s="88" t="s">
        <v>39</v>
      </c>
      <c r="N91" s="89" t="s">
        <v>40</v>
      </c>
      <c r="O91" s="88" t="s">
        <v>39</v>
      </c>
      <c r="P91" s="89" t="s">
        <v>40</v>
      </c>
      <c r="R91" s="67"/>
      <c r="T91" s="17"/>
    </row>
    <row r="92" spans="1:26" ht="15" customHeight="1" x14ac:dyDescent="0.2">
      <c r="A92" s="50"/>
      <c r="B92" s="54" t="str">
        <f t="shared" si="27"/>
        <v/>
      </c>
      <c r="C92" s="90">
        <f>IF(D92="","",VLOOKUP(D92,Daten!$CV$10:$CW$226,2,))</f>
        <v>2</v>
      </c>
      <c r="D92" s="940" t="s">
        <v>70</v>
      </c>
      <c r="E92" s="940"/>
      <c r="F92" s="940"/>
      <c r="G92" s="142"/>
      <c r="H92" s="941">
        <v>55000</v>
      </c>
      <c r="I92" s="941"/>
      <c r="J92" s="92">
        <f>IF(C92="","",VLOOKUP(C92,Daten!$AW$9:$BD$221,6))</f>
        <v>1.81</v>
      </c>
      <c r="K92" s="92">
        <f>IF(C92="","",VLOOKUP(C92,Daten!$AW$9:$BD$221,7))</f>
        <v>0.8</v>
      </c>
      <c r="L92" s="93">
        <f>IF(C54="","",VLOOKUP(C54,Daten!$BS$9:$BY$20,7))</f>
        <v>0</v>
      </c>
      <c r="M92" s="94">
        <f t="shared" ref="M92:M101" si="28">IF(C92="","",$G92*J92/100)</f>
        <v>0</v>
      </c>
      <c r="N92" s="145">
        <f t="shared" ref="N92:N101" si="29">IF(C92="","",$G92*K92/100)</f>
        <v>0</v>
      </c>
      <c r="O92" s="146">
        <f t="shared" ref="O92:O101" si="30">IF(C92="","",$H92*J92/100)</f>
        <v>995.5</v>
      </c>
      <c r="P92" s="147">
        <f t="shared" ref="P92:P101" si="31">IF(C92="","",$H92*K92/100)</f>
        <v>440</v>
      </c>
      <c r="R92" s="67"/>
      <c r="T92" s="17"/>
    </row>
    <row r="93" spans="1:26" ht="15" customHeight="1" x14ac:dyDescent="0.2">
      <c r="A93" s="50"/>
      <c r="B93" s="54" t="str">
        <f t="shared" si="27"/>
        <v/>
      </c>
      <c r="C93" s="90">
        <f>IF(D93="","",VLOOKUP(D93,Daten!$CV$10:$CW$226,2,))</f>
        <v>11</v>
      </c>
      <c r="D93" s="940" t="s">
        <v>71</v>
      </c>
      <c r="E93" s="940"/>
      <c r="F93" s="940"/>
      <c r="G93" s="148">
        <v>2000</v>
      </c>
      <c r="H93" s="941"/>
      <c r="I93" s="941"/>
      <c r="J93" s="92">
        <f>IF(C93="","",VLOOKUP(C93,Daten!$AW$9:$BD$221,6))</f>
        <v>1.65</v>
      </c>
      <c r="K93" s="92">
        <f>IF(C93="","",VLOOKUP(C93,Daten!$AW$9:$BD$221,7))</f>
        <v>0.8</v>
      </c>
      <c r="L93" s="93"/>
      <c r="M93" s="94">
        <f t="shared" si="28"/>
        <v>33</v>
      </c>
      <c r="N93" s="145">
        <f t="shared" si="29"/>
        <v>16</v>
      </c>
      <c r="O93" s="150">
        <f t="shared" si="30"/>
        <v>0</v>
      </c>
      <c r="P93" s="147">
        <f t="shared" si="31"/>
        <v>0</v>
      </c>
      <c r="R93" s="67"/>
      <c r="T93" s="17"/>
    </row>
    <row r="94" spans="1:26" ht="15" customHeight="1" x14ac:dyDescent="0.2">
      <c r="A94" s="50"/>
      <c r="B94" s="54" t="str">
        <f t="shared" si="27"/>
        <v/>
      </c>
      <c r="C94" s="90" t="str">
        <f>IF(D94="","",VLOOKUP(D94,Daten!$CV$10:$CW$226,2,))</f>
        <v/>
      </c>
      <c r="D94" s="940"/>
      <c r="E94" s="940"/>
      <c r="F94" s="940"/>
      <c r="G94" s="148"/>
      <c r="H94" s="941"/>
      <c r="I94" s="941"/>
      <c r="J94" s="92" t="str">
        <f>IF(C94="","",VLOOKUP(C94,Daten!$AW$9:$BD$221,6))</f>
        <v/>
      </c>
      <c r="K94" s="92" t="str">
        <f>IF(C94="","",VLOOKUP(C94,Daten!$AW$9:$BD$221,7))</f>
        <v/>
      </c>
      <c r="L94" s="93"/>
      <c r="M94" s="94" t="str">
        <f t="shared" si="28"/>
        <v/>
      </c>
      <c r="N94" s="145" t="str">
        <f t="shared" si="29"/>
        <v/>
      </c>
      <c r="O94" s="150" t="str">
        <f t="shared" si="30"/>
        <v/>
      </c>
      <c r="P94" s="147" t="str">
        <f t="shared" si="31"/>
        <v/>
      </c>
      <c r="R94" s="67"/>
      <c r="T94" s="17"/>
    </row>
    <row r="95" spans="1:26" ht="15" customHeight="1" x14ac:dyDescent="0.2">
      <c r="A95" s="50"/>
      <c r="B95" s="54"/>
      <c r="C95" s="90" t="str">
        <f>IF(D95="","",VLOOKUP(D95,Daten!$CV$10:$CW$226,2,))</f>
        <v/>
      </c>
      <c r="D95" s="940"/>
      <c r="E95" s="940"/>
      <c r="F95" s="940"/>
      <c r="G95" s="148"/>
      <c r="H95" s="941"/>
      <c r="I95" s="941"/>
      <c r="J95" s="92" t="str">
        <f>IF(C95="","",VLOOKUP(C95,Daten!$AW$9:$BD$221,6))</f>
        <v/>
      </c>
      <c r="K95" s="92" t="str">
        <f>IF(C95="","",VLOOKUP(C95,Daten!$AW$9:$BD$221,7))</f>
        <v/>
      </c>
      <c r="L95" s="93"/>
      <c r="M95" s="94" t="str">
        <f t="shared" si="28"/>
        <v/>
      </c>
      <c r="N95" s="145" t="str">
        <f t="shared" si="29"/>
        <v/>
      </c>
      <c r="O95" s="150" t="str">
        <f t="shared" si="30"/>
        <v/>
      </c>
      <c r="P95" s="147" t="str">
        <f t="shared" si="31"/>
        <v/>
      </c>
      <c r="R95" s="67"/>
      <c r="T95" s="17"/>
    </row>
    <row r="96" spans="1:26" ht="15" customHeight="1" x14ac:dyDescent="0.2">
      <c r="A96" s="50"/>
      <c r="B96" s="54"/>
      <c r="C96" s="90" t="str">
        <f>IF(D96="","",VLOOKUP(D96,Daten!$CV$10:$CW$226,2,))</f>
        <v/>
      </c>
      <c r="D96" s="942"/>
      <c r="E96" s="942"/>
      <c r="F96" s="942"/>
      <c r="G96" s="151"/>
      <c r="H96" s="943"/>
      <c r="I96" s="943"/>
      <c r="J96" s="102" t="str">
        <f>IF(C96="","",VLOOKUP(C96,Daten!$AW$9:$BD$221,6))</f>
        <v/>
      </c>
      <c r="K96" s="102" t="str">
        <f>IF(C96="","",VLOOKUP(C96,Daten!$AW$9:$BD$221,7))</f>
        <v/>
      </c>
      <c r="L96" s="103"/>
      <c r="M96" s="104" t="str">
        <f t="shared" si="28"/>
        <v/>
      </c>
      <c r="N96" s="154" t="str">
        <f t="shared" si="29"/>
        <v/>
      </c>
      <c r="O96" s="155" t="str">
        <f t="shared" si="30"/>
        <v/>
      </c>
      <c r="P96" s="156" t="str">
        <f t="shared" si="31"/>
        <v/>
      </c>
      <c r="R96" s="67"/>
      <c r="T96" s="17"/>
    </row>
    <row r="97" spans="1:20" ht="15" customHeight="1" x14ac:dyDescent="0.2">
      <c r="A97" s="50"/>
      <c r="B97" s="54"/>
      <c r="C97" s="90" t="str">
        <f>IF(D97="","",VLOOKUP(D97,Daten!$CV$10:$CW$226,2,))</f>
        <v/>
      </c>
      <c r="D97" s="940"/>
      <c r="E97" s="940"/>
      <c r="F97" s="940"/>
      <c r="G97" s="148"/>
      <c r="H97" s="941"/>
      <c r="I97" s="941"/>
      <c r="J97" s="92" t="str">
        <f>IF(C97="","",VLOOKUP(C97,Daten!$AW$9:$BD$221,6))</f>
        <v/>
      </c>
      <c r="K97" s="92" t="str">
        <f>IF(C97="","",VLOOKUP(C97,Daten!$AW$9:$BD$221,7))</f>
        <v/>
      </c>
      <c r="L97" s="93"/>
      <c r="M97" s="94" t="str">
        <f t="shared" si="28"/>
        <v/>
      </c>
      <c r="N97" s="145" t="str">
        <f t="shared" si="29"/>
        <v/>
      </c>
      <c r="O97" s="150" t="str">
        <f t="shared" si="30"/>
        <v/>
      </c>
      <c r="P97" s="147" t="str">
        <f t="shared" si="31"/>
        <v/>
      </c>
      <c r="R97" s="67"/>
      <c r="T97" s="17"/>
    </row>
    <row r="98" spans="1:20" ht="15" customHeight="1" x14ac:dyDescent="0.2">
      <c r="A98" s="50"/>
      <c r="B98" s="54"/>
      <c r="C98" s="90" t="str">
        <f>IF(D98="","",VLOOKUP(D98,Daten!$CV$10:$CW$226,2,))</f>
        <v/>
      </c>
      <c r="D98" s="940"/>
      <c r="E98" s="940"/>
      <c r="F98" s="940"/>
      <c r="G98" s="148"/>
      <c r="H98" s="941"/>
      <c r="I98" s="941"/>
      <c r="J98" s="92" t="str">
        <f>IF(C98="","",VLOOKUP(C98,Daten!$AW$9:$BD$221,6))</f>
        <v/>
      </c>
      <c r="K98" s="92" t="str">
        <f>IF(C98="","",VLOOKUP(C98,Daten!$AW$9:$BD$221,7))</f>
        <v/>
      </c>
      <c r="L98" s="93"/>
      <c r="M98" s="94" t="str">
        <f t="shared" si="28"/>
        <v/>
      </c>
      <c r="N98" s="145" t="str">
        <f t="shared" si="29"/>
        <v/>
      </c>
      <c r="O98" s="150" t="str">
        <f t="shared" si="30"/>
        <v/>
      </c>
      <c r="P98" s="147" t="str">
        <f t="shared" si="31"/>
        <v/>
      </c>
      <c r="R98" s="67"/>
      <c r="T98" s="17"/>
    </row>
    <row r="99" spans="1:20" ht="15" customHeight="1" x14ac:dyDescent="0.2">
      <c r="A99" s="50"/>
      <c r="B99" s="54"/>
      <c r="C99" s="90" t="str">
        <f>IF(D99="","",VLOOKUP(D99,Daten!$CV$10:$CW$226,2,))</f>
        <v/>
      </c>
      <c r="D99" s="940"/>
      <c r="E99" s="940"/>
      <c r="F99" s="940"/>
      <c r="G99" s="148"/>
      <c r="H99" s="941"/>
      <c r="I99" s="941"/>
      <c r="J99" s="92" t="str">
        <f>IF(C99="","",VLOOKUP(C99,Daten!$AW$9:$BD$221,6))</f>
        <v/>
      </c>
      <c r="K99" s="92" t="str">
        <f>IF(C99="","",VLOOKUP(C99,Daten!$AW$9:$BD$221,7))</f>
        <v/>
      </c>
      <c r="L99" s="93"/>
      <c r="M99" s="94" t="str">
        <f t="shared" si="28"/>
        <v/>
      </c>
      <c r="N99" s="145" t="str">
        <f t="shared" si="29"/>
        <v/>
      </c>
      <c r="O99" s="150" t="str">
        <f t="shared" si="30"/>
        <v/>
      </c>
      <c r="P99" s="147" t="str">
        <f t="shared" si="31"/>
        <v/>
      </c>
      <c r="R99" s="67"/>
      <c r="T99" s="17"/>
    </row>
    <row r="100" spans="1:20" ht="15" customHeight="1" x14ac:dyDescent="0.2">
      <c r="A100" s="50"/>
      <c r="B100" s="54" t="str">
        <f>IF(SUM(U100:Y100)&gt;0,"*","")</f>
        <v/>
      </c>
      <c r="C100" s="90" t="str">
        <f>IF(D100="","",VLOOKUP(D100,Daten!$CV$10:$CW$226,2,))</f>
        <v/>
      </c>
      <c r="D100" s="940"/>
      <c r="E100" s="940"/>
      <c r="F100" s="940"/>
      <c r="G100" s="148"/>
      <c r="H100" s="941"/>
      <c r="I100" s="941"/>
      <c r="J100" s="92" t="str">
        <f>IF(C100="","",VLOOKUP(C100,Daten!$AW$9:$BD$221,6))</f>
        <v/>
      </c>
      <c r="K100" s="92" t="str">
        <f>IF(C100="","",VLOOKUP(C100,Daten!$AW$9:$BD$221,7))</f>
        <v/>
      </c>
      <c r="L100" s="93" t="str">
        <f>IF(C57="","",VLOOKUP(C57,Daten!$BJ$9:$BQ$20,8))</f>
        <v/>
      </c>
      <c r="M100" s="94" t="str">
        <f t="shared" si="28"/>
        <v/>
      </c>
      <c r="N100" s="145" t="str">
        <f t="shared" si="29"/>
        <v/>
      </c>
      <c r="O100" s="150" t="str">
        <f t="shared" si="30"/>
        <v/>
      </c>
      <c r="P100" s="147" t="str">
        <f t="shared" si="31"/>
        <v/>
      </c>
      <c r="R100" s="67"/>
      <c r="T100" s="17"/>
    </row>
    <row r="101" spans="1:20" ht="15" customHeight="1" x14ac:dyDescent="0.2">
      <c r="A101" s="50"/>
      <c r="B101" s="54" t="str">
        <f>IF(SUM(U101:Y101)&gt;0,"*","")</f>
        <v/>
      </c>
      <c r="C101" s="90" t="str">
        <f>IF(D101="","",VLOOKUP(D101,Daten!$CV$10:$CW$226,2,))</f>
        <v/>
      </c>
      <c r="D101" s="944"/>
      <c r="E101" s="944"/>
      <c r="F101" s="944"/>
      <c r="G101" s="157"/>
      <c r="H101" s="945"/>
      <c r="I101" s="945"/>
      <c r="J101" s="109" t="str">
        <f>IF(C101="","",VLOOKUP(C101,Daten!$AW$9:$BD$221,6))</f>
        <v/>
      </c>
      <c r="K101" s="109" t="str">
        <f>IF(C101="","",VLOOKUP(C101,Daten!$AW$9:$BD$221,7))</f>
        <v/>
      </c>
      <c r="L101" s="110" t="str">
        <f>IF(C58="","",VLOOKUP(C58,Daten!$BJ$9:$BQ$20,8))</f>
        <v/>
      </c>
      <c r="M101" s="111" t="str">
        <f t="shared" si="28"/>
        <v/>
      </c>
      <c r="N101" s="160" t="str">
        <f t="shared" si="29"/>
        <v/>
      </c>
      <c r="O101" s="161" t="str">
        <f t="shared" si="30"/>
        <v/>
      </c>
      <c r="P101" s="162" t="str">
        <f t="shared" si="31"/>
        <v/>
      </c>
      <c r="R101" s="67"/>
      <c r="T101" s="17"/>
    </row>
    <row r="102" spans="1:20" ht="15" customHeight="1" x14ac:dyDescent="0.2">
      <c r="A102" s="50"/>
      <c r="B102" s="54" t="str">
        <f>IF(SUM(U102:Y102)&gt;0,"*","")</f>
        <v/>
      </c>
      <c r="C102" s="191" t="str">
        <f>IF(D260="","",VLOOKUP(D260,Daten!$CR$10:$CS$59,2,))</f>
        <v/>
      </c>
      <c r="D102" s="164" t="s">
        <v>57</v>
      </c>
      <c r="E102" s="125"/>
      <c r="F102" s="125"/>
      <c r="G102" s="192">
        <f>SUM(G92:G101)</f>
        <v>2000</v>
      </c>
      <c r="H102" s="962">
        <f>SUM(H92:H101)</f>
        <v>55000</v>
      </c>
      <c r="I102" s="962"/>
      <c r="J102" s="193"/>
      <c r="K102" s="193"/>
      <c r="L102" s="194"/>
      <c r="M102" s="195">
        <f>SUM(M92:M101)</f>
        <v>33</v>
      </c>
      <c r="N102" s="196">
        <f>SUM(N92:N101)</f>
        <v>16</v>
      </c>
      <c r="O102" s="196">
        <f>SUM(O92:O101)</f>
        <v>995.5</v>
      </c>
      <c r="P102" s="197">
        <f>SUM(P92:P101)</f>
        <v>440</v>
      </c>
      <c r="Q102" s="63"/>
      <c r="R102" s="67"/>
      <c r="T102" s="17"/>
    </row>
    <row r="103" spans="1:20" ht="18" customHeight="1" x14ac:dyDescent="0.2">
      <c r="A103" s="50"/>
      <c r="B103" s="54" t="str">
        <f>IF(SUM(U103:Y103)&gt;0,"*","")</f>
        <v/>
      </c>
      <c r="C103" s="191" t="str">
        <f>IF(D261="","",VLOOKUP(D261,Daten!$CR$10:$CS$59,2,))</f>
        <v/>
      </c>
      <c r="D103" s="164"/>
      <c r="E103" s="125"/>
      <c r="F103" s="125"/>
      <c r="G103" s="172"/>
      <c r="H103" s="173"/>
      <c r="I103" s="125"/>
      <c r="J103" s="172"/>
      <c r="K103" s="172"/>
      <c r="L103" s="172"/>
      <c r="M103" s="174"/>
      <c r="N103" s="174"/>
      <c r="O103" s="174"/>
      <c r="P103" s="175"/>
      <c r="Q103" s="63"/>
      <c r="R103" s="67"/>
      <c r="T103" s="17"/>
    </row>
    <row r="104" spans="1:20" ht="18" customHeight="1" x14ac:dyDescent="0.2">
      <c r="A104" s="50"/>
      <c r="B104" s="54" t="str">
        <f>IF(SUM(U104:Y104)&gt;0,"*","")</f>
        <v/>
      </c>
      <c r="C104" s="107" t="str">
        <f>IF(D262="","",VLOOKUP(D262,Daten!$CR$10:$CS$59,2,))</f>
        <v/>
      </c>
      <c r="D104" s="931" t="s">
        <v>72</v>
      </c>
      <c r="E104" s="931"/>
      <c r="F104" s="931"/>
      <c r="G104" s="931"/>
      <c r="H104" s="931"/>
      <c r="I104" s="931"/>
      <c r="J104" s="931"/>
      <c r="K104" s="931"/>
      <c r="L104" s="931"/>
      <c r="M104" s="931"/>
      <c r="N104" s="931"/>
      <c r="O104" s="931"/>
      <c r="P104" s="931"/>
      <c r="R104" s="67"/>
      <c r="T104" s="17"/>
    </row>
    <row r="105" spans="1:20" ht="15" customHeight="1" x14ac:dyDescent="0.2">
      <c r="A105" s="50"/>
      <c r="B105" s="55"/>
      <c r="C105" s="198"/>
      <c r="D105" s="79"/>
      <c r="E105" s="80"/>
      <c r="F105" s="80"/>
      <c r="G105" s="932" t="s">
        <v>28</v>
      </c>
      <c r="H105" s="932"/>
      <c r="I105" s="932"/>
      <c r="J105" s="933" t="s">
        <v>29</v>
      </c>
      <c r="K105" s="933"/>
      <c r="L105" s="81"/>
      <c r="M105" s="934" t="s">
        <v>30</v>
      </c>
      <c r="N105" s="934"/>
      <c r="O105" s="934" t="s">
        <v>31</v>
      </c>
      <c r="P105" s="934"/>
      <c r="R105" s="67"/>
    </row>
    <row r="106" spans="1:20" ht="15" customHeight="1" x14ac:dyDescent="0.2">
      <c r="A106" s="50"/>
      <c r="B106" s="55"/>
      <c r="C106" s="176"/>
      <c r="D106" s="951" t="s">
        <v>33</v>
      </c>
      <c r="E106" s="951"/>
      <c r="F106" s="951"/>
      <c r="G106" s="84" t="s">
        <v>34</v>
      </c>
      <c r="H106" s="936" t="s">
        <v>35</v>
      </c>
      <c r="I106" s="936"/>
      <c r="J106" s="85" t="s">
        <v>36</v>
      </c>
      <c r="K106" s="86" t="s">
        <v>37</v>
      </c>
      <c r="L106" s="87" t="s">
        <v>38</v>
      </c>
      <c r="M106" s="88" t="s">
        <v>39</v>
      </c>
      <c r="N106" s="89" t="s">
        <v>40</v>
      </c>
      <c r="O106" s="88" t="s">
        <v>39</v>
      </c>
      <c r="P106" s="89" t="s">
        <v>40</v>
      </c>
      <c r="R106" s="67"/>
    </row>
    <row r="107" spans="1:20" ht="15" customHeight="1" x14ac:dyDescent="0.2">
      <c r="A107" s="50"/>
      <c r="B107" s="55"/>
      <c r="C107" s="189">
        <f>IF(D107="","",VLOOKUP(D107,Daten!$DB$10:$DD$24,2,))</f>
        <v>1</v>
      </c>
      <c r="D107" s="953" t="s">
        <v>73</v>
      </c>
      <c r="E107" s="953"/>
      <c r="F107" s="953"/>
      <c r="G107" s="142">
        <v>50000</v>
      </c>
      <c r="H107" s="941"/>
      <c r="I107" s="941"/>
      <c r="J107" s="199">
        <f>IF(C107="","",VLOOKUP(C107,Daten!$CA$10:$CH$22,5)/10)</f>
        <v>0.7</v>
      </c>
      <c r="K107" s="200">
        <f>IF(C107="","",VLOOKUP(C107,Daten!$CA$10:$CH$22,7)/10)</f>
        <v>1.1000000000000001</v>
      </c>
      <c r="L107" s="93" t="str">
        <f>IF(C69="","",VLOOKUP(C69,Daten!$BS$9:$BY$20,7))</f>
        <v>K2O</v>
      </c>
      <c r="M107" s="94">
        <f t="shared" ref="M107:M116" si="32">IF(C107="","",$G107*J107/100)</f>
        <v>350</v>
      </c>
      <c r="N107" s="145">
        <f t="shared" ref="N107:N116" si="33">IF(C107="","",$G107*K107/100)</f>
        <v>550.00000000000011</v>
      </c>
      <c r="O107" s="146">
        <f t="shared" ref="O107:O116" si="34">IF(C107="","",$H107*J107/100)</f>
        <v>0</v>
      </c>
      <c r="P107" s="147">
        <f t="shared" ref="P107:P116" si="35">IF(C107="","",$H107*K107/100)</f>
        <v>0</v>
      </c>
      <c r="R107" s="67"/>
    </row>
    <row r="108" spans="1:20" ht="15" customHeight="1" x14ac:dyDescent="0.2">
      <c r="A108" s="50"/>
      <c r="B108" s="55"/>
      <c r="C108" s="189" t="str">
        <f>IF(D108="","",VLOOKUP(D108,Daten!$DB$10:$DD$24,2,))</f>
        <v/>
      </c>
      <c r="D108" s="955"/>
      <c r="E108" s="955"/>
      <c r="F108" s="955"/>
      <c r="G108" s="148"/>
      <c r="H108" s="941"/>
      <c r="I108" s="941"/>
      <c r="J108" s="200" t="str">
        <f>IF(C108="","",VLOOKUP(C108,Daten!$CA$10:$CH$22,5)/10)</f>
        <v/>
      </c>
      <c r="K108" s="200" t="str">
        <f>IF(C108="","",VLOOKUP(C108,Daten!$CA$10:$CH$22,7)/10)</f>
        <v/>
      </c>
      <c r="L108" s="93"/>
      <c r="M108" s="94" t="str">
        <f t="shared" si="32"/>
        <v/>
      </c>
      <c r="N108" s="145" t="str">
        <f t="shared" si="33"/>
        <v/>
      </c>
      <c r="O108" s="150" t="str">
        <f t="shared" si="34"/>
        <v/>
      </c>
      <c r="P108" s="147" t="str">
        <f t="shared" si="35"/>
        <v/>
      </c>
      <c r="R108" s="67"/>
    </row>
    <row r="109" spans="1:20" ht="15" customHeight="1" x14ac:dyDescent="0.2">
      <c r="A109" s="50"/>
      <c r="B109" s="55"/>
      <c r="C109" s="189" t="str">
        <f>IF(D109="","",VLOOKUP(D109,Daten!$DB$10:$DD$24,2,))</f>
        <v/>
      </c>
      <c r="D109" s="955"/>
      <c r="E109" s="955"/>
      <c r="F109" s="955"/>
      <c r="G109" s="148"/>
      <c r="H109" s="12"/>
      <c r="I109" s="201"/>
      <c r="J109" s="200" t="str">
        <f>IF(C109="","",VLOOKUP(C109,Daten!$CA$10:$CH$22,5)/10)</f>
        <v/>
      </c>
      <c r="K109" s="200" t="str">
        <f>IF(C109="","",VLOOKUP(C109,Daten!$CA$10:$CH$22,7)/10)</f>
        <v/>
      </c>
      <c r="L109" s="93"/>
      <c r="M109" s="94" t="str">
        <f t="shared" si="32"/>
        <v/>
      </c>
      <c r="N109" s="145" t="str">
        <f t="shared" si="33"/>
        <v/>
      </c>
      <c r="O109" s="150" t="str">
        <f t="shared" si="34"/>
        <v/>
      </c>
      <c r="P109" s="147" t="str">
        <f t="shared" si="35"/>
        <v/>
      </c>
      <c r="R109" s="67"/>
    </row>
    <row r="110" spans="1:20" ht="15" customHeight="1" x14ac:dyDescent="0.2">
      <c r="A110" s="50"/>
      <c r="B110" s="55"/>
      <c r="C110" s="189" t="str">
        <f>IF(D110="","",VLOOKUP(D110,Daten!$DB$10:$DD$24,2,))</f>
        <v/>
      </c>
      <c r="D110" s="955"/>
      <c r="E110" s="955"/>
      <c r="F110" s="955"/>
      <c r="G110" s="148"/>
      <c r="H110" s="12"/>
      <c r="I110" s="201"/>
      <c r="J110" s="200" t="str">
        <f>IF(C110="","",VLOOKUP(C110,Daten!$CA$10:$CH$22,5)/10)</f>
        <v/>
      </c>
      <c r="K110" s="200" t="str">
        <f>IF(C110="","",VLOOKUP(C110,Daten!$CA$10:$CH$22,7)/10)</f>
        <v/>
      </c>
      <c r="L110" s="93"/>
      <c r="M110" s="94" t="str">
        <f t="shared" si="32"/>
        <v/>
      </c>
      <c r="N110" s="145" t="str">
        <f t="shared" si="33"/>
        <v/>
      </c>
      <c r="O110" s="150" t="str">
        <f t="shared" si="34"/>
        <v/>
      </c>
      <c r="P110" s="147" t="str">
        <f t="shared" si="35"/>
        <v/>
      </c>
      <c r="R110" s="67"/>
    </row>
    <row r="111" spans="1:20" ht="15" customHeight="1" x14ac:dyDescent="0.2">
      <c r="A111" s="50"/>
      <c r="B111" s="55"/>
      <c r="C111" s="189" t="str">
        <f>IF(D111="","",VLOOKUP(D111,Daten!$DB$10:$DD$24,2,))</f>
        <v/>
      </c>
      <c r="D111" s="956"/>
      <c r="E111" s="956"/>
      <c r="F111" s="956"/>
      <c r="G111" s="151"/>
      <c r="H111" s="9"/>
      <c r="I111" s="202"/>
      <c r="J111" s="203" t="str">
        <f>IF(C111="","",VLOOKUP(C111,Daten!$CA$10:$CH$22,5)/10)</f>
        <v/>
      </c>
      <c r="K111" s="203" t="str">
        <f>IF(C111="","",VLOOKUP(C111,Daten!$CA$10:$CH$22,7)/10)</f>
        <v/>
      </c>
      <c r="L111" s="103"/>
      <c r="M111" s="104" t="str">
        <f t="shared" si="32"/>
        <v/>
      </c>
      <c r="N111" s="154" t="str">
        <f t="shared" si="33"/>
        <v/>
      </c>
      <c r="O111" s="155" t="str">
        <f t="shared" si="34"/>
        <v/>
      </c>
      <c r="P111" s="156" t="str">
        <f t="shared" si="35"/>
        <v/>
      </c>
      <c r="R111" s="67"/>
    </row>
    <row r="112" spans="1:20" ht="15" customHeight="1" x14ac:dyDescent="0.2">
      <c r="A112" s="50"/>
      <c r="B112" s="55"/>
      <c r="C112" s="189" t="str">
        <f>IF(D112="","",VLOOKUP(D112,Daten!$DB$10:$DD$24,2,))</f>
        <v/>
      </c>
      <c r="D112" s="955"/>
      <c r="E112" s="955"/>
      <c r="F112" s="955"/>
      <c r="G112" s="148"/>
      <c r="H112" s="12"/>
      <c r="I112" s="201"/>
      <c r="J112" s="200" t="str">
        <f>IF(C112="","",VLOOKUP(C112,Daten!$CA$10:$CH$22,5)/10)</f>
        <v/>
      </c>
      <c r="K112" s="200" t="str">
        <f>IF(C112="","",VLOOKUP(C112,Daten!$CA$10:$CH$22,7)/10)</f>
        <v/>
      </c>
      <c r="L112" s="93"/>
      <c r="M112" s="94" t="str">
        <f t="shared" si="32"/>
        <v/>
      </c>
      <c r="N112" s="145" t="str">
        <f t="shared" si="33"/>
        <v/>
      </c>
      <c r="O112" s="150" t="str">
        <f t="shared" si="34"/>
        <v/>
      </c>
      <c r="P112" s="147" t="str">
        <f t="shared" si="35"/>
        <v/>
      </c>
      <c r="R112" s="67"/>
    </row>
    <row r="113" spans="1:18" ht="15" customHeight="1" x14ac:dyDescent="0.2">
      <c r="A113" s="50"/>
      <c r="B113" s="55"/>
      <c r="C113" s="189" t="str">
        <f>IF(D113="","",VLOOKUP(D113,Daten!$DB$10:$DD$24,2,))</f>
        <v/>
      </c>
      <c r="D113" s="955"/>
      <c r="E113" s="955"/>
      <c r="F113" s="955"/>
      <c r="G113" s="148"/>
      <c r="H113" s="12"/>
      <c r="I113" s="201"/>
      <c r="J113" s="200" t="str">
        <f>IF(C113="","",VLOOKUP(C113,Daten!$CA$10:$CH$22,5)/10)</f>
        <v/>
      </c>
      <c r="K113" s="200" t="str">
        <f>IF(C113="","",VLOOKUP(C113,Daten!$CA$10:$CH$22,7)/10)</f>
        <v/>
      </c>
      <c r="L113" s="93"/>
      <c r="M113" s="94" t="str">
        <f t="shared" si="32"/>
        <v/>
      </c>
      <c r="N113" s="145" t="str">
        <f t="shared" si="33"/>
        <v/>
      </c>
      <c r="O113" s="150" t="str">
        <f t="shared" si="34"/>
        <v/>
      </c>
      <c r="P113" s="147" t="str">
        <f t="shared" si="35"/>
        <v/>
      </c>
      <c r="R113" s="67"/>
    </row>
    <row r="114" spans="1:18" ht="15" customHeight="1" x14ac:dyDescent="0.2">
      <c r="A114" s="50"/>
      <c r="B114" s="55"/>
      <c r="C114" s="189" t="str">
        <f>IF(D114="","",VLOOKUP(D114,Daten!$DB$10:$DD$24,2,))</f>
        <v/>
      </c>
      <c r="D114" s="955"/>
      <c r="E114" s="955"/>
      <c r="F114" s="955"/>
      <c r="G114" s="148"/>
      <c r="H114" s="941"/>
      <c r="I114" s="941"/>
      <c r="J114" s="200" t="str">
        <f>IF(C114="","",VLOOKUP(C114,Daten!$CA$10:$CH$22,5)/10)</f>
        <v/>
      </c>
      <c r="K114" s="200" t="str">
        <f>IF(C114="","",VLOOKUP(C114,Daten!$CA$10:$CH$22,7)/10)</f>
        <v/>
      </c>
      <c r="L114" s="93"/>
      <c r="M114" s="94" t="str">
        <f t="shared" si="32"/>
        <v/>
      </c>
      <c r="N114" s="145" t="str">
        <f t="shared" si="33"/>
        <v/>
      </c>
      <c r="O114" s="150" t="str">
        <f t="shared" si="34"/>
        <v/>
      </c>
      <c r="P114" s="147" t="str">
        <f t="shared" si="35"/>
        <v/>
      </c>
      <c r="R114" s="67"/>
    </row>
    <row r="115" spans="1:18" ht="15" customHeight="1" x14ac:dyDescent="0.2">
      <c r="A115" s="50"/>
      <c r="B115" s="55"/>
      <c r="C115" s="189" t="str">
        <f>IF(D115="","",VLOOKUP(D115,Daten!$DB$10:$DD$24,2,))</f>
        <v/>
      </c>
      <c r="D115" s="955"/>
      <c r="E115" s="955"/>
      <c r="F115" s="955"/>
      <c r="G115" s="148"/>
      <c r="H115" s="941"/>
      <c r="I115" s="941"/>
      <c r="J115" s="200" t="str">
        <f>IF(C115="","",VLOOKUP(C115,Daten!$CA$10:$CH$22,5)/10)</f>
        <v/>
      </c>
      <c r="K115" s="200" t="str">
        <f>IF(C115="","",VLOOKUP(C115,Daten!$CA$10:$CH$22,7)/10)</f>
        <v/>
      </c>
      <c r="L115" s="93">
        <f>IF(C72="","",VLOOKUP(C72,Daten!$BJ$9:$BQ$20,8))</f>
        <v>0.5</v>
      </c>
      <c r="M115" s="94" t="str">
        <f t="shared" si="32"/>
        <v/>
      </c>
      <c r="N115" s="145" t="str">
        <f t="shared" si="33"/>
        <v/>
      </c>
      <c r="O115" s="150" t="str">
        <f t="shared" si="34"/>
        <v/>
      </c>
      <c r="P115" s="147" t="str">
        <f t="shared" si="35"/>
        <v/>
      </c>
      <c r="Q115" s="50"/>
      <c r="R115" s="67"/>
    </row>
    <row r="116" spans="1:18" ht="15" customHeight="1" x14ac:dyDescent="0.2">
      <c r="A116" s="50"/>
      <c r="B116" s="55"/>
      <c r="C116" s="189" t="str">
        <f>IF(D116="","",VLOOKUP(D116,Daten!$DB$10:$DD$24,2,))</f>
        <v/>
      </c>
      <c r="D116" s="958"/>
      <c r="E116" s="958"/>
      <c r="F116" s="958"/>
      <c r="G116" s="157"/>
      <c r="H116" s="945"/>
      <c r="I116" s="945"/>
      <c r="J116" s="204" t="str">
        <f>IF(C116="","",VLOOKUP(C116,Daten!$CA$10:$CH$22,5)/10)</f>
        <v/>
      </c>
      <c r="K116" s="204" t="str">
        <f>IF(C116="","",VLOOKUP(C116,Daten!$CA$10:$CH$22,7)/10)</f>
        <v/>
      </c>
      <c r="L116" s="110">
        <f>IF(C73="","",VLOOKUP(C73,Daten!$BJ$9:$BQ$20,8))</f>
        <v>0.5</v>
      </c>
      <c r="M116" s="111" t="str">
        <f t="shared" si="32"/>
        <v/>
      </c>
      <c r="N116" s="160" t="str">
        <f t="shared" si="33"/>
        <v/>
      </c>
      <c r="O116" s="161" t="str">
        <f t="shared" si="34"/>
        <v/>
      </c>
      <c r="P116" s="162" t="str">
        <f t="shared" si="35"/>
        <v/>
      </c>
      <c r="Q116" s="50"/>
      <c r="R116" s="67"/>
    </row>
    <row r="117" spans="1:18" ht="15" customHeight="1" x14ac:dyDescent="0.2">
      <c r="A117" s="50"/>
      <c r="B117" s="55"/>
      <c r="C117" s="55"/>
      <c r="D117" s="205" t="s">
        <v>57</v>
      </c>
      <c r="E117" s="206"/>
      <c r="F117" s="206"/>
      <c r="G117" s="6">
        <f>SUM(G107:G116)</f>
        <v>50000</v>
      </c>
      <c r="H117" s="963">
        <f>SUM(H107:H116)</f>
        <v>0</v>
      </c>
      <c r="I117" s="963"/>
      <c r="J117" s="207"/>
      <c r="K117" s="207"/>
      <c r="L117" s="208"/>
      <c r="M117" s="209">
        <f>SUM(M107:M116)</f>
        <v>350</v>
      </c>
      <c r="N117" s="210">
        <f>SUM(N107:N116)</f>
        <v>550.00000000000011</v>
      </c>
      <c r="O117" s="210">
        <f>SUM(O107:O116)</f>
        <v>0</v>
      </c>
      <c r="P117" s="211">
        <f>SUM(P107:P116)</f>
        <v>0</v>
      </c>
      <c r="Q117" s="55"/>
      <c r="R117" s="67"/>
    </row>
    <row r="118" spans="1:18" ht="18" hidden="1" customHeight="1" x14ac:dyDescent="0.2">
      <c r="A118" s="50"/>
      <c r="B118" s="55"/>
      <c r="C118" s="55"/>
      <c r="D118" s="212"/>
      <c r="E118" s="70"/>
      <c r="F118" s="70"/>
      <c r="G118" s="172"/>
      <c r="H118" s="173"/>
      <c r="I118" s="125"/>
      <c r="J118" s="172"/>
      <c r="K118" s="172"/>
      <c r="L118" s="172"/>
      <c r="M118" s="174"/>
      <c r="N118" s="174"/>
      <c r="O118" s="174"/>
      <c r="P118" s="175"/>
      <c r="Q118" s="55"/>
      <c r="R118" s="67"/>
    </row>
    <row r="119" spans="1:18" ht="18" hidden="1" customHeight="1" x14ac:dyDescent="0.2">
      <c r="A119" s="50"/>
      <c r="B119" s="55"/>
      <c r="C119" s="55"/>
      <c r="D119" s="964" t="s">
        <v>74</v>
      </c>
      <c r="E119" s="964"/>
      <c r="F119" s="964"/>
      <c r="G119" s="964"/>
      <c r="H119" s="964"/>
      <c r="I119" s="964"/>
      <c r="J119" s="964"/>
      <c r="K119" s="964"/>
      <c r="L119" s="964"/>
      <c r="M119" s="964"/>
      <c r="N119" s="964"/>
      <c r="O119" s="964"/>
      <c r="P119" s="964"/>
      <c r="Q119" s="55"/>
      <c r="R119" s="67"/>
    </row>
    <row r="120" spans="1:18" ht="18" hidden="1" customHeight="1" x14ac:dyDescent="0.2">
      <c r="A120" s="50"/>
      <c r="B120" s="55"/>
      <c r="C120" s="55"/>
      <c r="D120" s="213"/>
      <c r="E120" s="214"/>
      <c r="F120" s="214"/>
      <c r="G120" s="965" t="s">
        <v>28</v>
      </c>
      <c r="H120" s="965"/>
      <c r="I120" s="965"/>
      <c r="J120" s="966" t="s">
        <v>29</v>
      </c>
      <c r="K120" s="966"/>
      <c r="L120" s="215"/>
      <c r="M120" s="967" t="s">
        <v>30</v>
      </c>
      <c r="N120" s="967"/>
      <c r="O120" s="967" t="s">
        <v>31</v>
      </c>
      <c r="P120" s="967"/>
      <c r="Q120" s="55"/>
      <c r="R120" s="67"/>
    </row>
    <row r="121" spans="1:18" ht="18" hidden="1" customHeight="1" x14ac:dyDescent="0.2">
      <c r="A121" s="50"/>
      <c r="B121" s="55"/>
      <c r="C121" s="55"/>
      <c r="D121" s="216" t="s">
        <v>33</v>
      </c>
      <c r="E121" s="217"/>
      <c r="F121" s="217"/>
      <c r="G121" s="218" t="s">
        <v>34</v>
      </c>
      <c r="H121" s="968" t="s">
        <v>35</v>
      </c>
      <c r="I121" s="968"/>
      <c r="J121" s="219" t="s">
        <v>36</v>
      </c>
      <c r="K121" s="220" t="s">
        <v>37</v>
      </c>
      <c r="L121" s="221" t="s">
        <v>38</v>
      </c>
      <c r="M121" s="222" t="s">
        <v>39</v>
      </c>
      <c r="N121" s="223" t="s">
        <v>40</v>
      </c>
      <c r="O121" s="222" t="s">
        <v>39</v>
      </c>
      <c r="P121" s="223" t="s">
        <v>40</v>
      </c>
      <c r="Q121" s="55"/>
      <c r="R121" s="67"/>
    </row>
    <row r="122" spans="1:18" ht="18" hidden="1" customHeight="1" x14ac:dyDescent="0.2">
      <c r="A122" s="50"/>
      <c r="B122" s="55"/>
      <c r="C122" s="191" t="str">
        <f>IF(D282="","",VLOOKUP(D282,Daten!$CR$10:$CS$59,2,))</f>
        <v/>
      </c>
      <c r="D122" s="212"/>
      <c r="E122" s="70"/>
      <c r="F122" s="70"/>
      <c r="G122" s="224"/>
      <c r="H122" s="969"/>
      <c r="I122" s="969"/>
      <c r="J122" s="225" t="str">
        <f>IF(C89="","",VLOOKUP(C89,Daten!$BS$9:$BY$20,5))</f>
        <v>N</v>
      </c>
      <c r="K122" s="225" t="str">
        <f>IF(C89="","",VLOOKUP(C89,Daten!$BS$9:$BY$20,6))</f>
        <v>P2O5</v>
      </c>
      <c r="L122" s="226" t="str">
        <f>IF(C89="","",VLOOKUP(C89,Daten!$BS$9:$BY$20,7))</f>
        <v>K2O</v>
      </c>
      <c r="M122" s="227" t="str">
        <f>IF(C122="","",$G122*J122/100)</f>
        <v/>
      </c>
      <c r="N122" s="228" t="str">
        <f>IF(C122="","",$G122*K122/100)</f>
        <v/>
      </c>
      <c r="O122" s="229" t="str">
        <f>IF(C122="","",$H122*J122/100)</f>
        <v/>
      </c>
      <c r="P122" s="230" t="str">
        <f>IF(C122="","",$H122*K122/100)</f>
        <v/>
      </c>
      <c r="Q122" s="55"/>
      <c r="R122" s="67"/>
    </row>
    <row r="123" spans="1:18" ht="18" hidden="1" customHeight="1" x14ac:dyDescent="0.2">
      <c r="A123" s="50"/>
      <c r="B123" s="55"/>
      <c r="C123" s="191" t="str">
        <f>IF(D283="","",VLOOKUP(D283,Daten!$CR$10:$CS$59,2,))</f>
        <v/>
      </c>
      <c r="D123" s="212"/>
      <c r="E123" s="70"/>
      <c r="F123" s="70"/>
      <c r="G123" s="224"/>
      <c r="H123" s="969"/>
      <c r="I123" s="969"/>
      <c r="J123" s="225"/>
      <c r="K123" s="225"/>
      <c r="L123" s="226"/>
      <c r="M123" s="227" t="str">
        <f>IF(C123="","",$G123*J123/100)</f>
        <v/>
      </c>
      <c r="N123" s="228" t="str">
        <f>IF(C123="","",$G123*K123/100)</f>
        <v/>
      </c>
      <c r="O123" s="229" t="str">
        <f>IF(C123="","",$H123*J123/100)</f>
        <v/>
      </c>
      <c r="P123" s="230" t="str">
        <f>IF(C123="","",$H123*K123/100)</f>
        <v/>
      </c>
      <c r="Q123" s="55"/>
      <c r="R123" s="67"/>
    </row>
    <row r="124" spans="1:18" ht="18" hidden="1" customHeight="1" x14ac:dyDescent="0.2">
      <c r="A124" s="50"/>
      <c r="B124" s="55"/>
      <c r="C124" s="191" t="str">
        <f>IF(D284="","",VLOOKUP(D284,Daten!$CR$10:$CS$59,2,))</f>
        <v/>
      </c>
      <c r="D124" s="212"/>
      <c r="E124" s="70"/>
      <c r="F124" s="70"/>
      <c r="G124" s="224"/>
      <c r="H124" s="969"/>
      <c r="I124" s="969"/>
      <c r="J124" s="225"/>
      <c r="K124" s="225"/>
      <c r="L124" s="226"/>
      <c r="M124" s="227" t="str">
        <f>IF(C124="","",$G124*J124/100)</f>
        <v/>
      </c>
      <c r="N124" s="228" t="str">
        <f>IF(C124="","",$G124*K124/100)</f>
        <v/>
      </c>
      <c r="O124" s="229" t="str">
        <f>IF(C124="","",$H124*J124/100)</f>
        <v/>
      </c>
      <c r="P124" s="230" t="str">
        <f>IF(C124="","",$H124*K124/100)</f>
        <v/>
      </c>
      <c r="Q124" s="55"/>
      <c r="R124" s="67"/>
    </row>
    <row r="125" spans="1:18" ht="18" hidden="1" customHeight="1" x14ac:dyDescent="0.2">
      <c r="A125" s="50"/>
      <c r="B125" s="55"/>
      <c r="C125" s="191" t="str">
        <f>IF(D285="","",VLOOKUP(D285,Daten!$CR$10:$CS$59,2,))</f>
        <v/>
      </c>
      <c r="D125" s="212"/>
      <c r="E125" s="70"/>
      <c r="F125" s="70"/>
      <c r="G125" s="224"/>
      <c r="H125" s="969"/>
      <c r="I125" s="969"/>
      <c r="J125" s="225">
        <f>IF(C92="","",VLOOKUP(C92,Daten!$BJ$9:$BQ$20,6))</f>
        <v>1.33</v>
      </c>
      <c r="K125" s="225">
        <f>IF(C92="","",VLOOKUP(C92,Daten!$BJ$9:$BQ$20,7))</f>
        <v>0.4</v>
      </c>
      <c r="L125" s="226">
        <f>IF(C92="","",VLOOKUP(C92,Daten!$BJ$9:$BQ$20,8))</f>
        <v>0.18</v>
      </c>
      <c r="M125" s="227" t="str">
        <f>IF(C125="","",$G125*J125/100)</f>
        <v/>
      </c>
      <c r="N125" s="228" t="str">
        <f>IF(C125="","",$G125*K125/100)</f>
        <v/>
      </c>
      <c r="O125" s="229" t="str">
        <f>IF(C125="","",$H125*J125/100)</f>
        <v/>
      </c>
      <c r="P125" s="230" t="str">
        <f>IF(C125="","",$H125*K125/100)</f>
        <v/>
      </c>
      <c r="Q125" s="55"/>
      <c r="R125" s="67"/>
    </row>
    <row r="126" spans="1:18" ht="18" hidden="1" customHeight="1" x14ac:dyDescent="0.2">
      <c r="A126" s="50"/>
      <c r="B126" s="55"/>
      <c r="C126" s="191" t="str">
        <f>IF(D286="","",VLOOKUP(D286,Daten!$CR$10:$CS$59,2,))</f>
        <v/>
      </c>
      <c r="D126" s="212"/>
      <c r="E126" s="70"/>
      <c r="F126" s="70"/>
      <c r="G126" s="224"/>
      <c r="H126" s="969"/>
      <c r="I126" s="969"/>
      <c r="J126" s="225">
        <f>IF(C93="","",VLOOKUP(C93,Daten!$BJ$9:$BQ$20,6))</f>
        <v>13.44</v>
      </c>
      <c r="K126" s="225">
        <f>IF(C93="","",VLOOKUP(C93,Daten!$BJ$9:$BQ$20,7))</f>
        <v>1.1499999999999999</v>
      </c>
      <c r="L126" s="226">
        <f>IF(C93="","",VLOOKUP(C93,Daten!$BJ$9:$BQ$20,8))</f>
        <v>0.5</v>
      </c>
      <c r="M126" s="227" t="str">
        <f>IF(C126="","",$G126*J126/100)</f>
        <v/>
      </c>
      <c r="N126" s="228" t="str">
        <f>IF(C126="","",$G126*K126/100)</f>
        <v/>
      </c>
      <c r="O126" s="229" t="str">
        <f>IF(C126="","",$H126*J126/100)</f>
        <v/>
      </c>
      <c r="P126" s="230" t="str">
        <f>IF(C126="","",$H126*K126/100)</f>
        <v/>
      </c>
      <c r="Q126" s="55"/>
      <c r="R126" s="67"/>
    </row>
    <row r="127" spans="1:18" ht="18" hidden="1" customHeight="1" x14ac:dyDescent="0.2">
      <c r="A127" s="50"/>
      <c r="B127" s="55"/>
      <c r="C127" s="55"/>
      <c r="D127" s="164" t="s">
        <v>57</v>
      </c>
      <c r="E127" s="125"/>
      <c r="F127" s="125"/>
      <c r="G127" s="172"/>
      <c r="H127" s="173">
        <f>SUM(H122:H126)</f>
        <v>0</v>
      </c>
      <c r="I127" s="125" t="s">
        <v>75</v>
      </c>
      <c r="J127" s="172"/>
      <c r="K127" s="172"/>
      <c r="L127" s="231"/>
      <c r="M127" s="232">
        <f>SUM(M122:M126)</f>
        <v>0</v>
      </c>
      <c r="N127" s="233">
        <f>SUM(N122:N126)</f>
        <v>0</v>
      </c>
      <c r="O127" s="174">
        <f>SUM(O122:O126)</f>
        <v>0</v>
      </c>
      <c r="P127" s="234">
        <f>SUM(P122:P126)</f>
        <v>0</v>
      </c>
      <c r="Q127" s="55"/>
      <c r="R127" s="67"/>
    </row>
    <row r="128" spans="1:18" ht="18" hidden="1" customHeight="1" x14ac:dyDescent="0.2">
      <c r="A128" s="50"/>
      <c r="B128" s="55"/>
      <c r="C128" s="55"/>
      <c r="D128" s="164"/>
      <c r="E128" s="125"/>
      <c r="F128" s="125"/>
      <c r="G128" s="172"/>
      <c r="H128" s="173"/>
      <c r="I128" s="125"/>
      <c r="J128" s="172"/>
      <c r="K128" s="172"/>
      <c r="L128" s="172"/>
      <c r="M128" s="174"/>
      <c r="N128" s="174"/>
      <c r="O128" s="174"/>
      <c r="P128" s="175"/>
      <c r="Q128" s="55"/>
      <c r="R128" s="67"/>
    </row>
    <row r="129" spans="1:25" ht="18" hidden="1" customHeight="1" x14ac:dyDescent="0.2">
      <c r="A129" s="50"/>
      <c r="B129" s="55"/>
      <c r="C129" s="55"/>
      <c r="D129" s="964" t="s">
        <v>76</v>
      </c>
      <c r="E129" s="964"/>
      <c r="F129" s="964"/>
      <c r="G129" s="964"/>
      <c r="H129" s="964"/>
      <c r="I129" s="964"/>
      <c r="J129" s="964"/>
      <c r="K129" s="964"/>
      <c r="L129" s="964"/>
      <c r="M129" s="964"/>
      <c r="N129" s="964"/>
      <c r="O129" s="964"/>
      <c r="P129" s="964"/>
      <c r="Q129" s="55"/>
      <c r="R129" s="67"/>
    </row>
    <row r="130" spans="1:25" ht="18" hidden="1" customHeight="1" x14ac:dyDescent="0.2">
      <c r="A130" s="50"/>
      <c r="B130" s="55"/>
      <c r="C130" s="55"/>
      <c r="D130" s="213"/>
      <c r="E130" s="214"/>
      <c r="F130" s="214"/>
      <c r="G130" s="965" t="s">
        <v>28</v>
      </c>
      <c r="H130" s="965"/>
      <c r="I130" s="965"/>
      <c r="J130" s="966" t="s">
        <v>29</v>
      </c>
      <c r="K130" s="966"/>
      <c r="L130" s="215"/>
      <c r="M130" s="967" t="s">
        <v>30</v>
      </c>
      <c r="N130" s="967"/>
      <c r="O130" s="967" t="s">
        <v>31</v>
      </c>
      <c r="P130" s="967"/>
      <c r="Q130" s="55"/>
      <c r="R130" s="67"/>
    </row>
    <row r="131" spans="1:25" ht="18" hidden="1" customHeight="1" x14ac:dyDescent="0.2">
      <c r="A131" s="50"/>
      <c r="B131" s="55"/>
      <c r="C131" s="55"/>
      <c r="D131" s="216" t="s">
        <v>33</v>
      </c>
      <c r="E131" s="217"/>
      <c r="F131" s="217"/>
      <c r="G131" s="218" t="s">
        <v>34</v>
      </c>
      <c r="H131" s="968" t="s">
        <v>35</v>
      </c>
      <c r="I131" s="968"/>
      <c r="J131" s="219" t="s">
        <v>36</v>
      </c>
      <c r="K131" s="220" t="s">
        <v>37</v>
      </c>
      <c r="L131" s="221" t="s">
        <v>38</v>
      </c>
      <c r="M131" s="222" t="s">
        <v>39</v>
      </c>
      <c r="N131" s="223" t="s">
        <v>40</v>
      </c>
      <c r="O131" s="222" t="s">
        <v>39</v>
      </c>
      <c r="P131" s="223" t="s">
        <v>40</v>
      </c>
      <c r="Q131" s="55"/>
      <c r="R131" s="67"/>
    </row>
    <row r="132" spans="1:25" ht="18" hidden="1" customHeight="1" x14ac:dyDescent="0.2">
      <c r="A132" s="50"/>
      <c r="B132" s="55"/>
      <c r="C132" s="191" t="str">
        <f>IF(D292="","",VLOOKUP(D292,Daten!$CR$10:$CS$59,2,))</f>
        <v/>
      </c>
      <c r="D132" s="212"/>
      <c r="E132" s="70"/>
      <c r="F132" s="70"/>
      <c r="G132" s="224"/>
      <c r="H132" s="969"/>
      <c r="I132" s="969"/>
      <c r="J132" s="225" t="str">
        <f>IF(C103="","",VLOOKUP(C103,Daten!$BS$9:$BY$20,5))</f>
        <v/>
      </c>
      <c r="K132" s="225" t="str">
        <f>IF(C103="","",VLOOKUP(C103,Daten!$BS$9:$BY$20,6))</f>
        <v/>
      </c>
      <c r="L132" s="226" t="str">
        <f>IF(C103="","",VLOOKUP(C103,Daten!$BS$9:$BY$20,7))</f>
        <v/>
      </c>
      <c r="M132" s="227" t="str">
        <f>IF(C132="","",$G132*J132/100)</f>
        <v/>
      </c>
      <c r="N132" s="228" t="str">
        <f>IF(C132="","",$G132*K132/100)</f>
        <v/>
      </c>
      <c r="O132" s="229" t="str">
        <f>IF(C132="","",$H132*J132/100)</f>
        <v/>
      </c>
      <c r="P132" s="230" t="str">
        <f>IF(C132="","",$H132*K132/100)</f>
        <v/>
      </c>
      <c r="Q132" s="55"/>
      <c r="R132" s="67"/>
    </row>
    <row r="133" spans="1:25" ht="18" hidden="1" customHeight="1" x14ac:dyDescent="0.2">
      <c r="A133" s="50"/>
      <c r="B133" s="55"/>
      <c r="C133" s="191" t="str">
        <f>IF(D293="","",VLOOKUP(D293,Daten!$CR$10:$CS$59,2,))</f>
        <v/>
      </c>
      <c r="D133" s="212"/>
      <c r="E133" s="70"/>
      <c r="F133" s="70"/>
      <c r="G133" s="224"/>
      <c r="H133" s="969"/>
      <c r="I133" s="969"/>
      <c r="J133" s="225"/>
      <c r="K133" s="225"/>
      <c r="L133" s="226"/>
      <c r="M133" s="227" t="str">
        <f>IF(C133="","",$G133*J133/100)</f>
        <v/>
      </c>
      <c r="N133" s="228" t="str">
        <f>IF(C133="","",$G133*K133/100)</f>
        <v/>
      </c>
      <c r="O133" s="229" t="str">
        <f>IF(C133="","",$H133*J133/100)</f>
        <v/>
      </c>
      <c r="P133" s="230" t="str">
        <f>IF(C133="","",$H133*K133/100)</f>
        <v/>
      </c>
      <c r="Q133" s="55"/>
      <c r="R133" s="67"/>
    </row>
    <row r="134" spans="1:25" ht="18" hidden="1" customHeight="1" x14ac:dyDescent="0.2">
      <c r="A134" s="50"/>
      <c r="B134" s="55"/>
      <c r="C134" s="191" t="str">
        <f>IF(D294="","",VLOOKUP(D294,Daten!$CR$10:$CS$59,2,))</f>
        <v/>
      </c>
      <c r="D134" s="212"/>
      <c r="E134" s="70"/>
      <c r="F134" s="70"/>
      <c r="G134" s="224"/>
      <c r="H134" s="969"/>
      <c r="I134" s="969"/>
      <c r="J134" s="225"/>
      <c r="K134" s="225"/>
      <c r="L134" s="226"/>
      <c r="M134" s="227" t="str">
        <f>IF(C134="","",$G134*J134/100)</f>
        <v/>
      </c>
      <c r="N134" s="228" t="str">
        <f>IF(C134="","",$G134*K134/100)</f>
        <v/>
      </c>
      <c r="O134" s="229" t="str">
        <f>IF(C134="","",$H134*J134/100)</f>
        <v/>
      </c>
      <c r="P134" s="230" t="str">
        <f>IF(C134="","",$H134*K134/100)</f>
        <v/>
      </c>
      <c r="Q134" s="55"/>
      <c r="R134" s="67"/>
    </row>
    <row r="135" spans="1:25" ht="18" hidden="1" customHeight="1" x14ac:dyDescent="0.2">
      <c r="A135" s="50"/>
      <c r="B135" s="55"/>
      <c r="C135" s="191" t="str">
        <f>IF(D295="","",VLOOKUP(D295,Daten!$CR$10:$CS$59,2,))</f>
        <v/>
      </c>
      <c r="D135" s="212"/>
      <c r="E135" s="70"/>
      <c r="F135" s="70"/>
      <c r="G135" s="224"/>
      <c r="H135" s="969"/>
      <c r="I135" s="969"/>
      <c r="J135" s="225" t="str">
        <f>IF(C106="","",VLOOKUP(C106,Daten!$BJ$9:$BQ$20,6))</f>
        <v/>
      </c>
      <c r="K135" s="225" t="str">
        <f>IF(C106="","",VLOOKUP(C106,Daten!$BJ$9:$BQ$20,7))</f>
        <v/>
      </c>
      <c r="L135" s="226" t="str">
        <f>IF(C106="","",VLOOKUP(C106,Daten!$BJ$9:$BQ$20,8))</f>
        <v/>
      </c>
      <c r="M135" s="227" t="str">
        <f>IF(C135="","",$G135*J135/100)</f>
        <v/>
      </c>
      <c r="N135" s="228" t="str">
        <f>IF(C135="","",$G135*K135/100)</f>
        <v/>
      </c>
      <c r="O135" s="229" t="str">
        <f>IF(C135="","",$H135*J135/100)</f>
        <v/>
      </c>
      <c r="P135" s="230" t="str">
        <f>IF(C135="","",$H135*K135/100)</f>
        <v/>
      </c>
      <c r="Q135" s="55"/>
      <c r="R135" s="67"/>
    </row>
    <row r="136" spans="1:25" ht="18" hidden="1" customHeight="1" x14ac:dyDescent="0.2">
      <c r="A136" s="50"/>
      <c r="B136" s="55"/>
      <c r="C136" s="191" t="str">
        <f>IF(D296="","",VLOOKUP(D296,Daten!$CR$10:$CS$59,2,))</f>
        <v/>
      </c>
      <c r="D136" s="212"/>
      <c r="E136" s="70"/>
      <c r="F136" s="70"/>
      <c r="G136" s="224"/>
      <c r="H136" s="969"/>
      <c r="I136" s="969"/>
      <c r="J136" s="225">
        <f>IF(C107="","",VLOOKUP(C107,Daten!$BJ$9:$BQ$20,6))</f>
        <v>2.4</v>
      </c>
      <c r="K136" s="225">
        <f>IF(C107="","",VLOOKUP(C107,Daten!$BJ$9:$BQ$20,7))</f>
        <v>0.3</v>
      </c>
      <c r="L136" s="226">
        <f>IF(C107="","",VLOOKUP(C107,Daten!$BJ$9:$BQ$20,8))</f>
        <v>0.13</v>
      </c>
      <c r="M136" s="227" t="str">
        <f>IF(C136="","",$G136*J136/100)</f>
        <v/>
      </c>
      <c r="N136" s="228" t="str">
        <f>IF(C136="","",$G136*K136/100)</f>
        <v/>
      </c>
      <c r="O136" s="229" t="str">
        <f>IF(C136="","",$H136*J136/100)</f>
        <v/>
      </c>
      <c r="P136" s="230" t="str">
        <f>IF(C136="","",$H136*K136/100)</f>
        <v/>
      </c>
      <c r="Q136" s="55"/>
      <c r="R136" s="67"/>
    </row>
    <row r="137" spans="1:25" ht="15.75" customHeight="1" x14ac:dyDescent="0.2">
      <c r="A137" s="50"/>
      <c r="B137" s="55"/>
      <c r="C137" s="55"/>
      <c r="D137" s="235"/>
      <c r="E137" s="236"/>
      <c r="F137" s="236"/>
      <c r="G137" s="237"/>
      <c r="H137" s="238"/>
      <c r="I137" s="236"/>
      <c r="J137" s="237"/>
      <c r="K137" s="237"/>
      <c r="L137" s="237"/>
      <c r="M137" s="239"/>
      <c r="N137" s="239"/>
      <c r="O137" s="239"/>
      <c r="P137" s="240"/>
      <c r="Q137" s="55"/>
      <c r="R137" s="67"/>
    </row>
    <row r="138" spans="1:25" ht="18" customHeight="1" x14ac:dyDescent="0.2">
      <c r="A138" s="50"/>
      <c r="B138" s="55"/>
      <c r="C138" s="50"/>
      <c r="D138" s="931" t="s">
        <v>77</v>
      </c>
      <c r="E138" s="931"/>
      <c r="F138" s="931"/>
      <c r="G138" s="931"/>
      <c r="H138" s="931"/>
      <c r="I138" s="931"/>
      <c r="J138" s="931"/>
      <c r="K138" s="931"/>
      <c r="L138" s="931"/>
      <c r="M138" s="931"/>
      <c r="N138" s="931"/>
      <c r="O138" s="931"/>
      <c r="P138" s="931"/>
      <c r="Q138" s="50"/>
      <c r="R138" s="67"/>
    </row>
    <row r="139" spans="1:25" ht="18" customHeight="1" x14ac:dyDescent="0.2">
      <c r="A139" s="50"/>
      <c r="B139" s="55"/>
      <c r="C139" s="50"/>
      <c r="D139" s="79"/>
      <c r="E139" s="80"/>
      <c r="F139" s="80"/>
      <c r="G139" s="932" t="s">
        <v>28</v>
      </c>
      <c r="H139" s="932"/>
      <c r="I139" s="932"/>
      <c r="J139" s="933" t="s">
        <v>29</v>
      </c>
      <c r="K139" s="933"/>
      <c r="L139" s="81"/>
      <c r="M139" s="934" t="s">
        <v>30</v>
      </c>
      <c r="N139" s="934"/>
      <c r="O139" s="934" t="s">
        <v>31</v>
      </c>
      <c r="P139" s="934"/>
      <c r="Q139" s="50"/>
      <c r="R139" s="67"/>
    </row>
    <row r="140" spans="1:25" ht="15" customHeight="1" x14ac:dyDescent="0.2">
      <c r="A140" s="50"/>
      <c r="B140" s="55"/>
      <c r="C140" s="50"/>
      <c r="D140" s="951" t="s">
        <v>33</v>
      </c>
      <c r="E140" s="951"/>
      <c r="F140" s="951"/>
      <c r="G140" s="84" t="s">
        <v>34</v>
      </c>
      <c r="H140" s="936" t="s">
        <v>35</v>
      </c>
      <c r="I140" s="936"/>
      <c r="J140" s="85" t="s">
        <v>36</v>
      </c>
      <c r="K140" s="86" t="s">
        <v>37</v>
      </c>
      <c r="L140" s="87" t="s">
        <v>38</v>
      </c>
      <c r="M140" s="88" t="s">
        <v>39</v>
      </c>
      <c r="N140" s="89" t="s">
        <v>40</v>
      </c>
      <c r="O140" s="88" t="s">
        <v>39</v>
      </c>
      <c r="P140" s="89" t="s">
        <v>40</v>
      </c>
      <c r="Q140" s="50"/>
      <c r="R140" s="67"/>
    </row>
    <row r="141" spans="1:25" ht="15" customHeight="1" x14ac:dyDescent="0.2">
      <c r="A141" s="50"/>
      <c r="B141" s="55"/>
      <c r="C141" s="189">
        <f>IF(D141="","",VLOOKUP(D141,Daten!$DB$10:$DD$24,2,))</f>
        <v>1</v>
      </c>
      <c r="D141" s="953" t="s">
        <v>73</v>
      </c>
      <c r="E141" s="953"/>
      <c r="F141" s="953"/>
      <c r="G141" s="142">
        <v>50000</v>
      </c>
      <c r="H141" s="941"/>
      <c r="I141" s="941"/>
      <c r="J141" s="199">
        <f>IF(C141="","",VLOOKUP(C141,Daten!$CA$10:$CH$22,5)/10)</f>
        <v>0.7</v>
      </c>
      <c r="K141" s="200">
        <f>IF(C141="","",VLOOKUP(C141,Daten!$CA$10:$CH$22,7)/10)</f>
        <v>1.1000000000000001</v>
      </c>
      <c r="L141" s="93" t="str">
        <f>IF(C103="","",VLOOKUP(C103,Daten!$BS$9:$BY$20,7))</f>
        <v/>
      </c>
      <c r="M141" s="94">
        <f t="shared" ref="M141:M150" si="36">IF(C141="","",$G141*J141/100)</f>
        <v>350</v>
      </c>
      <c r="N141" s="145">
        <f t="shared" ref="N141:N150" si="37">IF(C141="","",$G141*K141/100)</f>
        <v>550.00000000000011</v>
      </c>
      <c r="O141" s="146">
        <f t="shared" ref="O141:O150" si="38">IF(C141="","",$H141*J141/100)</f>
        <v>0</v>
      </c>
      <c r="P141" s="147">
        <f t="shared" ref="P141:P150" si="39">IF(C141="","",$H141*K141/100)</f>
        <v>0</v>
      </c>
      <c r="Q141" s="50"/>
      <c r="R141" s="67"/>
      <c r="S141" s="241"/>
      <c r="T141" s="241"/>
      <c r="U141" s="241"/>
      <c r="V141" s="241"/>
      <c r="W141" s="241"/>
      <c r="X141" s="241"/>
      <c r="Y141" s="241"/>
    </row>
    <row r="142" spans="1:25" ht="15" customHeight="1" x14ac:dyDescent="0.2">
      <c r="A142" s="50"/>
      <c r="B142" s="55"/>
      <c r="C142" s="189" t="str">
        <f>IF(D142="","",VLOOKUP(D142,Daten!$DB$10:$DD$24,2,))</f>
        <v/>
      </c>
      <c r="D142" s="955"/>
      <c r="E142" s="955"/>
      <c r="F142" s="955"/>
      <c r="G142" s="148"/>
      <c r="H142" s="941"/>
      <c r="I142" s="941"/>
      <c r="J142" s="200" t="str">
        <f>IF(C142="","",VLOOKUP(C142,Daten!$CA$10:$CH$22,5)/10)</f>
        <v/>
      </c>
      <c r="K142" s="200" t="str">
        <f>IF(C142="","",VLOOKUP(C142,Daten!$CA$10:$CH$22,7)/10)</f>
        <v/>
      </c>
      <c r="L142" s="93"/>
      <c r="M142" s="94" t="str">
        <f t="shared" si="36"/>
        <v/>
      </c>
      <c r="N142" s="145" t="str">
        <f t="shared" si="37"/>
        <v/>
      </c>
      <c r="O142" s="150" t="str">
        <f t="shared" si="38"/>
        <v/>
      </c>
      <c r="P142" s="147" t="str">
        <f t="shared" si="39"/>
        <v/>
      </c>
      <c r="Q142" s="50"/>
      <c r="R142" s="67"/>
    </row>
    <row r="143" spans="1:25" ht="15" customHeight="1" x14ac:dyDescent="0.2">
      <c r="A143" s="50"/>
      <c r="B143" s="55"/>
      <c r="C143" s="189" t="str">
        <f>IF(D143="","",VLOOKUP(D143,Daten!$DB$10:$DD$24,2,))</f>
        <v/>
      </c>
      <c r="D143" s="955"/>
      <c r="E143" s="955"/>
      <c r="F143" s="955"/>
      <c r="G143" s="148"/>
      <c r="H143" s="12"/>
      <c r="I143" s="201"/>
      <c r="J143" s="200" t="str">
        <f>IF(C143="","",VLOOKUP(C143,Daten!$CA$10:$CH$22,5)/10)</f>
        <v/>
      </c>
      <c r="K143" s="200" t="str">
        <f>IF(C143="","",VLOOKUP(C143,Daten!$CA$10:$CH$22,7)/10)</f>
        <v/>
      </c>
      <c r="L143" s="93"/>
      <c r="M143" s="94" t="str">
        <f t="shared" si="36"/>
        <v/>
      </c>
      <c r="N143" s="145" t="str">
        <f t="shared" si="37"/>
        <v/>
      </c>
      <c r="O143" s="150" t="str">
        <f t="shared" si="38"/>
        <v/>
      </c>
      <c r="P143" s="147" t="str">
        <f t="shared" si="39"/>
        <v/>
      </c>
      <c r="Q143" s="50"/>
      <c r="R143" s="67"/>
    </row>
    <row r="144" spans="1:25" ht="15" customHeight="1" x14ac:dyDescent="0.2">
      <c r="A144" s="50"/>
      <c r="B144" s="55"/>
      <c r="C144" s="189" t="str">
        <f>IF(D144="","",VLOOKUP(D144,Daten!$DB$10:$DD$24,2,))</f>
        <v/>
      </c>
      <c r="D144" s="955"/>
      <c r="E144" s="955"/>
      <c r="F144" s="955"/>
      <c r="G144" s="148"/>
      <c r="H144" s="12"/>
      <c r="I144" s="201"/>
      <c r="J144" s="200" t="str">
        <f>IF(C144="","",VLOOKUP(C144,Daten!$CA$10:$CH$22,5)/10)</f>
        <v/>
      </c>
      <c r="K144" s="200" t="str">
        <f>IF(C144="","",VLOOKUP(C144,Daten!$CA$10:$CH$22,7)/10)</f>
        <v/>
      </c>
      <c r="L144" s="93"/>
      <c r="M144" s="94" t="str">
        <f t="shared" si="36"/>
        <v/>
      </c>
      <c r="N144" s="145" t="str">
        <f t="shared" si="37"/>
        <v/>
      </c>
      <c r="O144" s="150" t="str">
        <f t="shared" si="38"/>
        <v/>
      </c>
      <c r="P144" s="147" t="str">
        <f t="shared" si="39"/>
        <v/>
      </c>
      <c r="Q144" s="50"/>
      <c r="R144" s="67"/>
    </row>
    <row r="145" spans="1:18" ht="15" customHeight="1" x14ac:dyDescent="0.2">
      <c r="A145" s="50"/>
      <c r="B145" s="55"/>
      <c r="C145" s="189" t="str">
        <f>IF(D145="","",VLOOKUP(D145,Daten!$DB$10:$DD$24,2,))</f>
        <v/>
      </c>
      <c r="D145" s="956"/>
      <c r="E145" s="956"/>
      <c r="F145" s="956"/>
      <c r="G145" s="151"/>
      <c r="H145" s="9"/>
      <c r="I145" s="202"/>
      <c r="J145" s="203" t="str">
        <f>IF(C145="","",VLOOKUP(C145,Daten!$CA$10:$CH$22,5)/10)</f>
        <v/>
      </c>
      <c r="K145" s="203" t="str">
        <f>IF(C145="","",VLOOKUP(C145,Daten!$CA$10:$CH$22,7)/10)</f>
        <v/>
      </c>
      <c r="L145" s="103"/>
      <c r="M145" s="104" t="str">
        <f t="shared" si="36"/>
        <v/>
      </c>
      <c r="N145" s="154" t="str">
        <f t="shared" si="37"/>
        <v/>
      </c>
      <c r="O145" s="155" t="str">
        <f t="shared" si="38"/>
        <v/>
      </c>
      <c r="P145" s="156" t="str">
        <f t="shared" si="39"/>
        <v/>
      </c>
      <c r="Q145" s="50"/>
      <c r="R145" s="67"/>
    </row>
    <row r="146" spans="1:18" ht="15" customHeight="1" x14ac:dyDescent="0.2">
      <c r="A146" s="50"/>
      <c r="B146" s="55"/>
      <c r="C146" s="189" t="str">
        <f>IF(D146="","",VLOOKUP(D146,Daten!$DB$10:$DD$24,2,))</f>
        <v/>
      </c>
      <c r="D146" s="955"/>
      <c r="E146" s="955"/>
      <c r="F146" s="955"/>
      <c r="G146" s="148"/>
      <c r="H146" s="12"/>
      <c r="I146" s="201"/>
      <c r="J146" s="200" t="str">
        <f>IF(C146="","",VLOOKUP(C146,Daten!$CA$10:$CH$22,5)/10)</f>
        <v/>
      </c>
      <c r="K146" s="200" t="str">
        <f>IF(C146="","",VLOOKUP(C146,Daten!$CA$10:$CH$22,7)/10)</f>
        <v/>
      </c>
      <c r="L146" s="93"/>
      <c r="M146" s="94" t="str">
        <f t="shared" si="36"/>
        <v/>
      </c>
      <c r="N146" s="145" t="str">
        <f t="shared" si="37"/>
        <v/>
      </c>
      <c r="O146" s="150" t="str">
        <f t="shared" si="38"/>
        <v/>
      </c>
      <c r="P146" s="147" t="str">
        <f t="shared" si="39"/>
        <v/>
      </c>
      <c r="Q146" s="50"/>
      <c r="R146" s="67"/>
    </row>
    <row r="147" spans="1:18" ht="15" customHeight="1" x14ac:dyDescent="0.2">
      <c r="A147" s="50"/>
      <c r="B147" s="55"/>
      <c r="C147" s="189" t="str">
        <f>IF(D147="","",VLOOKUP(D147,Daten!$DB$10:$DD$24,2,))</f>
        <v/>
      </c>
      <c r="D147" s="955"/>
      <c r="E147" s="955"/>
      <c r="F147" s="955"/>
      <c r="G147" s="148"/>
      <c r="H147" s="12"/>
      <c r="I147" s="201"/>
      <c r="J147" s="200" t="str">
        <f>IF(C147="","",VLOOKUP(C147,Daten!$CA$10:$CH$22,5)/10)</f>
        <v/>
      </c>
      <c r="K147" s="200" t="str">
        <f>IF(C147="","",VLOOKUP(C147,Daten!$CA$10:$CH$22,7)/10)</f>
        <v/>
      </c>
      <c r="L147" s="93"/>
      <c r="M147" s="94" t="str">
        <f t="shared" si="36"/>
        <v/>
      </c>
      <c r="N147" s="145" t="str">
        <f t="shared" si="37"/>
        <v/>
      </c>
      <c r="O147" s="150" t="str">
        <f t="shared" si="38"/>
        <v/>
      </c>
      <c r="P147" s="147" t="str">
        <f t="shared" si="39"/>
        <v/>
      </c>
      <c r="Q147" s="50"/>
      <c r="R147" s="67"/>
    </row>
    <row r="148" spans="1:18" ht="15" customHeight="1" x14ac:dyDescent="0.2">
      <c r="A148" s="50"/>
      <c r="B148" s="55"/>
      <c r="C148" s="189" t="str">
        <f>IF(D148="","",VLOOKUP(D148,Daten!$DB$10:$DD$24,2,))</f>
        <v/>
      </c>
      <c r="D148" s="955"/>
      <c r="E148" s="955"/>
      <c r="F148" s="955"/>
      <c r="G148" s="148"/>
      <c r="H148" s="941"/>
      <c r="I148" s="941"/>
      <c r="J148" s="200" t="str">
        <f>IF(C148="","",VLOOKUP(C148,Daten!$CA$10:$CH$22,5)/10)</f>
        <v/>
      </c>
      <c r="K148" s="200" t="str">
        <f>IF(C148="","",VLOOKUP(C148,Daten!$CA$10:$CH$22,7)/10)</f>
        <v/>
      </c>
      <c r="L148" s="93"/>
      <c r="M148" s="94" t="str">
        <f t="shared" si="36"/>
        <v/>
      </c>
      <c r="N148" s="145" t="str">
        <f t="shared" si="37"/>
        <v/>
      </c>
      <c r="O148" s="150" t="str">
        <f t="shared" si="38"/>
        <v/>
      </c>
      <c r="P148" s="147" t="str">
        <f t="shared" si="39"/>
        <v/>
      </c>
      <c r="Q148" s="50"/>
      <c r="R148" s="67"/>
    </row>
    <row r="149" spans="1:18" ht="15" customHeight="1" x14ac:dyDescent="0.2">
      <c r="A149" s="50"/>
      <c r="B149" s="55"/>
      <c r="C149" s="189" t="str">
        <f>IF(D149="","",VLOOKUP(D149,Daten!$DB$10:$DD$24,2,))</f>
        <v/>
      </c>
      <c r="D149" s="955"/>
      <c r="E149" s="955"/>
      <c r="F149" s="955"/>
      <c r="G149" s="148"/>
      <c r="H149" s="941"/>
      <c r="I149" s="941"/>
      <c r="J149" s="200" t="str">
        <f>IF(C149="","",VLOOKUP(C149,Daten!$CA$10:$CH$22,5)/10)</f>
        <v/>
      </c>
      <c r="K149" s="200" t="str">
        <f>IF(C149="","",VLOOKUP(C149,Daten!$CA$10:$CH$22,7)/10)</f>
        <v/>
      </c>
      <c r="L149" s="93" t="str">
        <f>IF(C106="","",VLOOKUP(C106,Daten!$BJ$9:$BQ$20,8))</f>
        <v/>
      </c>
      <c r="M149" s="94" t="str">
        <f t="shared" si="36"/>
        <v/>
      </c>
      <c r="N149" s="145" t="str">
        <f t="shared" si="37"/>
        <v/>
      </c>
      <c r="O149" s="150" t="str">
        <f t="shared" si="38"/>
        <v/>
      </c>
      <c r="P149" s="147" t="str">
        <f t="shared" si="39"/>
        <v/>
      </c>
      <c r="Q149" s="50"/>
      <c r="R149" s="67"/>
    </row>
    <row r="150" spans="1:18" ht="15" customHeight="1" x14ac:dyDescent="0.2">
      <c r="A150" s="50"/>
      <c r="B150" s="55"/>
      <c r="C150" s="189" t="str">
        <f>IF(D150="","",VLOOKUP(D150,Daten!$DB$10:$DD$24,2,))</f>
        <v/>
      </c>
      <c r="D150" s="958"/>
      <c r="E150" s="958"/>
      <c r="F150" s="958"/>
      <c r="G150" s="157"/>
      <c r="H150" s="945"/>
      <c r="I150" s="945"/>
      <c r="J150" s="204" t="str">
        <f>IF(C150="","",VLOOKUP(C150,Daten!$CA$10:$CH$22,5)/10)</f>
        <v/>
      </c>
      <c r="K150" s="204" t="str">
        <f>IF(C150="","",VLOOKUP(C150,Daten!$CA$10:$CH$22,7)/10)</f>
        <v/>
      </c>
      <c r="L150" s="110">
        <f>IF(C107="","",VLOOKUP(C107,Daten!$BJ$9:$BQ$20,8))</f>
        <v>0.13</v>
      </c>
      <c r="M150" s="111" t="str">
        <f t="shared" si="36"/>
        <v/>
      </c>
      <c r="N150" s="160" t="str">
        <f t="shared" si="37"/>
        <v/>
      </c>
      <c r="O150" s="161" t="str">
        <f t="shared" si="38"/>
        <v/>
      </c>
      <c r="P150" s="162" t="str">
        <f t="shared" si="39"/>
        <v/>
      </c>
      <c r="Q150" s="50"/>
      <c r="R150" s="67"/>
    </row>
    <row r="151" spans="1:18" ht="15" customHeight="1" x14ac:dyDescent="0.2">
      <c r="A151" s="50"/>
      <c r="B151" s="55"/>
      <c r="C151" s="242" t="str">
        <f>IF(D180="","",VLOOKUP(D180,Daten!$CR$10:$CS$59,2,))</f>
        <v/>
      </c>
      <c r="D151" s="164" t="s">
        <v>57</v>
      </c>
      <c r="E151" s="125"/>
      <c r="F151" s="125"/>
      <c r="G151" s="3">
        <f>SUM(G141:G150)</f>
        <v>50000</v>
      </c>
      <c r="H151" s="970">
        <f>SUM(H141:H150)</f>
        <v>0</v>
      </c>
      <c r="I151" s="970"/>
      <c r="J151" s="243"/>
      <c r="K151" s="243"/>
      <c r="L151" s="244"/>
      <c r="M151" s="245">
        <f>SUM(M141:M150)</f>
        <v>350</v>
      </c>
      <c r="N151" s="246">
        <f>SUM(N141:N150)</f>
        <v>550.00000000000011</v>
      </c>
      <c r="O151" s="246">
        <f>SUM(O141:O150)</f>
        <v>0</v>
      </c>
      <c r="P151" s="247">
        <f>SUM(P141:P150)</f>
        <v>0</v>
      </c>
      <c r="Q151" s="55"/>
      <c r="R151" s="67"/>
    </row>
    <row r="152" spans="1:18" ht="15" customHeight="1" x14ac:dyDescent="0.2">
      <c r="A152" s="50"/>
      <c r="B152" s="55"/>
      <c r="C152" s="242"/>
      <c r="D152" s="164"/>
      <c r="E152" s="125"/>
      <c r="F152" s="125"/>
      <c r="G152" s="248"/>
      <c r="H152" s="248"/>
      <c r="I152" s="249"/>
      <c r="J152" s="165"/>
      <c r="K152" s="165"/>
      <c r="L152" s="165"/>
      <c r="M152" s="250"/>
      <c r="N152" s="250"/>
      <c r="O152" s="250"/>
      <c r="P152" s="170"/>
      <c r="Q152" s="55"/>
      <c r="R152" s="67"/>
    </row>
    <row r="153" spans="1:18" ht="15" customHeight="1" x14ac:dyDescent="0.2">
      <c r="A153" s="50"/>
      <c r="B153" s="55"/>
      <c r="C153" s="251" t="str">
        <f>IF(D181="","",VLOOKUP(D181,Daten!$CR$10:$CS$59,2,))</f>
        <v/>
      </c>
      <c r="D153" s="931" t="s">
        <v>78</v>
      </c>
      <c r="E153" s="931"/>
      <c r="F153" s="931"/>
      <c r="G153" s="931"/>
      <c r="H153" s="931"/>
      <c r="I153" s="931"/>
      <c r="J153" s="931"/>
      <c r="K153" s="931"/>
      <c r="L153" s="931"/>
      <c r="M153" s="931"/>
      <c r="N153" s="931"/>
      <c r="O153" s="931"/>
      <c r="P153" s="931"/>
      <c r="Q153" s="50"/>
      <c r="R153" s="67"/>
    </row>
    <row r="154" spans="1:18" ht="15" customHeight="1" x14ac:dyDescent="0.2">
      <c r="A154" s="50"/>
      <c r="B154" s="55"/>
      <c r="C154" s="251" t="str">
        <f>IF(D182="","",VLOOKUP(D182,Daten!$CR$10:$CS$59,2,))</f>
        <v/>
      </c>
      <c r="D154" s="79"/>
      <c r="E154" s="80"/>
      <c r="F154" s="80"/>
      <c r="G154" s="932" t="s">
        <v>28</v>
      </c>
      <c r="H154" s="932"/>
      <c r="I154" s="932"/>
      <c r="J154" s="933" t="s">
        <v>29</v>
      </c>
      <c r="K154" s="933"/>
      <c r="L154" s="81"/>
      <c r="M154" s="934" t="s">
        <v>30</v>
      </c>
      <c r="N154" s="934"/>
      <c r="O154" s="934" t="s">
        <v>31</v>
      </c>
      <c r="P154" s="934"/>
      <c r="Q154" s="50"/>
      <c r="R154" s="67"/>
    </row>
    <row r="155" spans="1:18" ht="15" customHeight="1" x14ac:dyDescent="0.2">
      <c r="A155" s="50"/>
      <c r="B155" s="55"/>
      <c r="C155" s="251" t="str">
        <f>IF(D183="","",VLOOKUP(D183,Daten!$CR$10:$CS$59,2,))</f>
        <v/>
      </c>
      <c r="D155" s="951" t="s">
        <v>33</v>
      </c>
      <c r="E155" s="951"/>
      <c r="F155" s="951"/>
      <c r="G155" s="84" t="s">
        <v>34</v>
      </c>
      <c r="H155" s="936" t="s">
        <v>35</v>
      </c>
      <c r="I155" s="936"/>
      <c r="J155" s="85" t="s">
        <v>36</v>
      </c>
      <c r="K155" s="86" t="s">
        <v>37</v>
      </c>
      <c r="L155" s="87" t="s">
        <v>38</v>
      </c>
      <c r="M155" s="88" t="s">
        <v>39</v>
      </c>
      <c r="N155" s="89" t="s">
        <v>40</v>
      </c>
      <c r="O155" s="88" t="s">
        <v>39</v>
      </c>
      <c r="P155" s="89" t="s">
        <v>40</v>
      </c>
      <c r="Q155" s="50"/>
      <c r="R155" s="67"/>
    </row>
    <row r="156" spans="1:18" ht="15" customHeight="1" x14ac:dyDescent="0.2">
      <c r="A156" s="50"/>
      <c r="B156" s="55"/>
      <c r="C156" s="189">
        <f>IF(D156="","",VLOOKUP(D156,Daten!$DB$10:$DD$24,2,))</f>
        <v>4</v>
      </c>
      <c r="D156" s="953" t="s">
        <v>79</v>
      </c>
      <c r="E156" s="953"/>
      <c r="F156" s="953"/>
      <c r="G156" s="142">
        <v>50000</v>
      </c>
      <c r="H156" s="941"/>
      <c r="I156" s="941"/>
      <c r="J156" s="199">
        <f>IF(C156="","",VLOOKUP(C156,Daten!$CA$10:$CH$22,5)/10)</f>
        <v>0.7</v>
      </c>
      <c r="K156" s="200">
        <f>IF(C156="","",VLOOKUP(C156,Daten!$CA$10:$CH$22,7)/10)</f>
        <v>0.4</v>
      </c>
      <c r="L156" s="93" t="str">
        <f>IF(C117="","",VLOOKUP(C117,Daten!$BS$9:$BY$20,7))</f>
        <v/>
      </c>
      <c r="M156" s="94">
        <f t="shared" ref="M156:M165" si="40">IF(C156="","",$G156*J156/100)</f>
        <v>350</v>
      </c>
      <c r="N156" s="145">
        <f t="shared" ref="N156:N165" si="41">IF(C156="","",$G156*K156/100)</f>
        <v>200</v>
      </c>
      <c r="O156" s="146">
        <f t="shared" ref="O156:O165" si="42">IF(C156="","",$H156*J156/100)</f>
        <v>0</v>
      </c>
      <c r="P156" s="147">
        <f t="shared" ref="P156:P165" si="43">IF(C156="","",$H156*K156/100)</f>
        <v>0</v>
      </c>
      <c r="Q156" s="50"/>
      <c r="R156" s="67"/>
    </row>
    <row r="157" spans="1:18" ht="15" customHeight="1" x14ac:dyDescent="0.2">
      <c r="A157" s="50"/>
      <c r="B157" s="55"/>
      <c r="C157" s="189" t="str">
        <f>IF(D157="","",VLOOKUP(D157,Daten!$DB$10:$DD$24,2,))</f>
        <v/>
      </c>
      <c r="D157" s="955"/>
      <c r="E157" s="955"/>
      <c r="F157" s="955"/>
      <c r="G157" s="148"/>
      <c r="H157" s="941"/>
      <c r="I157" s="941"/>
      <c r="J157" s="200" t="str">
        <f>IF(C157="","",VLOOKUP(C157,Daten!$CA$10:$CH$22,5)/10)</f>
        <v/>
      </c>
      <c r="K157" s="200" t="str">
        <f>IF(C157="","",VLOOKUP(C157,Daten!$CA$10:$CH$22,7)/10)</f>
        <v/>
      </c>
      <c r="L157" s="93"/>
      <c r="M157" s="94" t="str">
        <f t="shared" si="40"/>
        <v/>
      </c>
      <c r="N157" s="145" t="str">
        <f t="shared" si="41"/>
        <v/>
      </c>
      <c r="O157" s="150" t="str">
        <f t="shared" si="42"/>
        <v/>
      </c>
      <c r="P157" s="147" t="str">
        <f t="shared" si="43"/>
        <v/>
      </c>
      <c r="Q157" s="50"/>
      <c r="R157" s="67"/>
    </row>
    <row r="158" spans="1:18" ht="15" customHeight="1" x14ac:dyDescent="0.2">
      <c r="A158" s="50"/>
      <c r="B158" s="55"/>
      <c r="C158" s="189" t="str">
        <f>IF(D158="","",VLOOKUP(D158,Daten!$DB$10:$DD$24,2,))</f>
        <v/>
      </c>
      <c r="D158" s="955"/>
      <c r="E158" s="955"/>
      <c r="F158" s="955"/>
      <c r="G158" s="148"/>
      <c r="H158" s="12"/>
      <c r="I158" s="201"/>
      <c r="J158" s="200" t="str">
        <f>IF(C158="","",VLOOKUP(C158,Daten!$CA$10:$CH$22,5)/10)</f>
        <v/>
      </c>
      <c r="K158" s="200" t="str">
        <f>IF(C158="","",VLOOKUP(C158,Daten!$CA$10:$CH$22,7)/10)</f>
        <v/>
      </c>
      <c r="L158" s="93"/>
      <c r="M158" s="94" t="str">
        <f t="shared" si="40"/>
        <v/>
      </c>
      <c r="N158" s="145" t="str">
        <f t="shared" si="41"/>
        <v/>
      </c>
      <c r="O158" s="150" t="str">
        <f t="shared" si="42"/>
        <v/>
      </c>
      <c r="P158" s="147" t="str">
        <f t="shared" si="43"/>
        <v/>
      </c>
      <c r="Q158" s="50"/>
      <c r="R158" s="67"/>
    </row>
    <row r="159" spans="1:18" ht="18" customHeight="1" x14ac:dyDescent="0.2">
      <c r="A159" s="50"/>
      <c r="B159" s="55"/>
      <c r="C159" s="189" t="str">
        <f>IF(D159="","",VLOOKUP(D159,Daten!$DB$10:$DD$24,2,))</f>
        <v/>
      </c>
      <c r="D159" s="955"/>
      <c r="E159" s="955"/>
      <c r="F159" s="955"/>
      <c r="G159" s="148"/>
      <c r="H159" s="12"/>
      <c r="I159" s="201"/>
      <c r="J159" s="200" t="str">
        <f>IF(C159="","",VLOOKUP(C159,Daten!$CA$10:$CH$22,5)/10)</f>
        <v/>
      </c>
      <c r="K159" s="200" t="str">
        <f>IF(C159="","",VLOOKUP(C159,Daten!$CA$10:$CH$22,7)/10)</f>
        <v/>
      </c>
      <c r="L159" s="93"/>
      <c r="M159" s="94" t="str">
        <f t="shared" si="40"/>
        <v/>
      </c>
      <c r="N159" s="145" t="str">
        <f t="shared" si="41"/>
        <v/>
      </c>
      <c r="O159" s="150" t="str">
        <f t="shared" si="42"/>
        <v/>
      </c>
      <c r="P159" s="147" t="str">
        <f t="shared" si="43"/>
        <v/>
      </c>
      <c r="Q159" s="50"/>
      <c r="R159" s="67"/>
    </row>
    <row r="160" spans="1:18" ht="18" customHeight="1" x14ac:dyDescent="0.2">
      <c r="A160" s="50"/>
      <c r="B160" s="55"/>
      <c r="C160" s="189" t="str">
        <f>IF(D160="","",VLOOKUP(D160,Daten!$DB$10:$DD$24,2,))</f>
        <v/>
      </c>
      <c r="D160" s="956"/>
      <c r="E160" s="956"/>
      <c r="F160" s="956"/>
      <c r="G160" s="151"/>
      <c r="H160" s="9"/>
      <c r="I160" s="202"/>
      <c r="J160" s="203" t="str">
        <f>IF(C160="","",VLOOKUP(C160,Daten!$CA$10:$CH$22,5)/10)</f>
        <v/>
      </c>
      <c r="K160" s="203" t="str">
        <f>IF(C160="","",VLOOKUP(C160,Daten!$CA$10:$CH$22,7)/10)</f>
        <v/>
      </c>
      <c r="L160" s="103"/>
      <c r="M160" s="104" t="str">
        <f t="shared" si="40"/>
        <v/>
      </c>
      <c r="N160" s="154" t="str">
        <f t="shared" si="41"/>
        <v/>
      </c>
      <c r="O160" s="155" t="str">
        <f t="shared" si="42"/>
        <v/>
      </c>
      <c r="P160" s="156" t="str">
        <f t="shared" si="43"/>
        <v/>
      </c>
      <c r="Q160" s="50"/>
      <c r="R160" s="67"/>
    </row>
    <row r="161" spans="1:18" ht="15" customHeight="1" x14ac:dyDescent="0.2">
      <c r="A161" s="50"/>
      <c r="B161" s="55"/>
      <c r="C161" s="189" t="str">
        <f>IF(D161="","",VLOOKUP(D161,Daten!$DB$10:$DD$24,2,))</f>
        <v/>
      </c>
      <c r="D161" s="955"/>
      <c r="E161" s="955"/>
      <c r="F161" s="955"/>
      <c r="G161" s="148"/>
      <c r="H161" s="12"/>
      <c r="I161" s="201"/>
      <c r="J161" s="200" t="str">
        <f>IF(C161="","",VLOOKUP(C161,Daten!$CA$10:$CH$22,5)/10)</f>
        <v/>
      </c>
      <c r="K161" s="200" t="str">
        <f>IF(C161="","",VLOOKUP(C161,Daten!$CA$10:$CH$22,7)/10)</f>
        <v/>
      </c>
      <c r="L161" s="93"/>
      <c r="M161" s="94" t="str">
        <f t="shared" si="40"/>
        <v/>
      </c>
      <c r="N161" s="145" t="str">
        <f t="shared" si="41"/>
        <v/>
      </c>
      <c r="O161" s="150" t="str">
        <f t="shared" si="42"/>
        <v/>
      </c>
      <c r="P161" s="147" t="str">
        <f t="shared" si="43"/>
        <v/>
      </c>
      <c r="Q161" s="50"/>
      <c r="R161" s="67"/>
    </row>
    <row r="162" spans="1:18" ht="15" customHeight="1" x14ac:dyDescent="0.2">
      <c r="A162" s="50"/>
      <c r="B162" s="55"/>
      <c r="C162" s="189" t="str">
        <f>IF(D162="","",VLOOKUP(D162,Daten!$DB$10:$DD$24,2,))</f>
        <v/>
      </c>
      <c r="D162" s="955"/>
      <c r="E162" s="955"/>
      <c r="F162" s="955"/>
      <c r="G162" s="148"/>
      <c r="H162" s="12"/>
      <c r="I162" s="201"/>
      <c r="J162" s="200" t="str">
        <f>IF(C162="","",VLOOKUP(C162,Daten!$CA$10:$CH$22,5)/10)</f>
        <v/>
      </c>
      <c r="K162" s="200" t="str">
        <f>IF(C162="","",VLOOKUP(C162,Daten!$CA$10:$CH$22,7)/10)</f>
        <v/>
      </c>
      <c r="L162" s="93"/>
      <c r="M162" s="94" t="str">
        <f t="shared" si="40"/>
        <v/>
      </c>
      <c r="N162" s="145" t="str">
        <f t="shared" si="41"/>
        <v/>
      </c>
      <c r="O162" s="150" t="str">
        <f t="shared" si="42"/>
        <v/>
      </c>
      <c r="P162" s="147" t="str">
        <f t="shared" si="43"/>
        <v/>
      </c>
      <c r="Q162" s="50"/>
      <c r="R162" s="67"/>
    </row>
    <row r="163" spans="1:18" ht="15" customHeight="1" x14ac:dyDescent="0.2">
      <c r="A163" s="50"/>
      <c r="B163" s="55"/>
      <c r="C163" s="189" t="str">
        <f>IF(D163="","",VLOOKUP(D163,Daten!$DB$10:$DD$24,2,))</f>
        <v/>
      </c>
      <c r="D163" s="955"/>
      <c r="E163" s="955"/>
      <c r="F163" s="955"/>
      <c r="G163" s="148"/>
      <c r="H163" s="941"/>
      <c r="I163" s="941"/>
      <c r="J163" s="200" t="str">
        <f>IF(C163="","",VLOOKUP(C163,Daten!$CA$10:$CH$22,5)/10)</f>
        <v/>
      </c>
      <c r="K163" s="200" t="str">
        <f>IF(C163="","",VLOOKUP(C163,Daten!$CA$10:$CH$22,7)/10)</f>
        <v/>
      </c>
      <c r="L163" s="93"/>
      <c r="M163" s="94" t="str">
        <f t="shared" si="40"/>
        <v/>
      </c>
      <c r="N163" s="145" t="str">
        <f t="shared" si="41"/>
        <v/>
      </c>
      <c r="O163" s="150" t="str">
        <f t="shared" si="42"/>
        <v/>
      </c>
      <c r="P163" s="147" t="str">
        <f t="shared" si="43"/>
        <v/>
      </c>
      <c r="Q163" s="50"/>
      <c r="R163" s="67"/>
    </row>
    <row r="164" spans="1:18" ht="15" customHeight="1" x14ac:dyDescent="0.2">
      <c r="A164" s="50"/>
      <c r="B164" s="55"/>
      <c r="C164" s="189" t="str">
        <f>IF(D164="","",VLOOKUP(D164,Daten!$DB$10:$DD$24,2,))</f>
        <v/>
      </c>
      <c r="D164" s="955"/>
      <c r="E164" s="955"/>
      <c r="F164" s="955"/>
      <c r="G164" s="148"/>
      <c r="H164" s="941"/>
      <c r="I164" s="941"/>
      <c r="J164" s="200" t="str">
        <f>IF(C164="","",VLOOKUP(C164,Daten!$CA$10:$CH$22,5)/10)</f>
        <v/>
      </c>
      <c r="K164" s="200" t="str">
        <f>IF(C164="","",VLOOKUP(C164,Daten!$CA$10:$CH$22,7)/10)</f>
        <v/>
      </c>
      <c r="L164" s="93" t="str">
        <f>IF(C120="","",VLOOKUP(C120,Daten!$BJ$9:$BQ$20,8))</f>
        <v/>
      </c>
      <c r="M164" s="94" t="str">
        <f t="shared" si="40"/>
        <v/>
      </c>
      <c r="N164" s="145" t="str">
        <f t="shared" si="41"/>
        <v/>
      </c>
      <c r="O164" s="150" t="str">
        <f t="shared" si="42"/>
        <v/>
      </c>
      <c r="P164" s="147" t="str">
        <f t="shared" si="43"/>
        <v/>
      </c>
      <c r="Q164" s="50"/>
      <c r="R164" s="67"/>
    </row>
    <row r="165" spans="1:18" ht="15" customHeight="1" x14ac:dyDescent="0.2">
      <c r="A165" s="50"/>
      <c r="B165" s="55"/>
      <c r="C165" s="189" t="str">
        <f>IF(D165="","",VLOOKUP(D165,Daten!$DB$10:$DD$24,2,))</f>
        <v/>
      </c>
      <c r="D165" s="958"/>
      <c r="E165" s="958"/>
      <c r="F165" s="958"/>
      <c r="G165" s="157"/>
      <c r="H165" s="945"/>
      <c r="I165" s="945"/>
      <c r="J165" s="204" t="str">
        <f>IF(C165="","",VLOOKUP(C165,Daten!$CA$10:$CH$22,5)/10)</f>
        <v/>
      </c>
      <c r="K165" s="204" t="str">
        <f>IF(C165="","",VLOOKUP(C165,Daten!$CA$10:$CH$22,7)/10)</f>
        <v/>
      </c>
      <c r="L165" s="110" t="str">
        <f>IF(C121="","",VLOOKUP(C121,Daten!$BJ$9:$BQ$20,8))</f>
        <v/>
      </c>
      <c r="M165" s="111" t="str">
        <f t="shared" si="40"/>
        <v/>
      </c>
      <c r="N165" s="160" t="str">
        <f t="shared" si="41"/>
        <v/>
      </c>
      <c r="O165" s="161" t="str">
        <f t="shared" si="42"/>
        <v/>
      </c>
      <c r="P165" s="162" t="str">
        <f t="shared" si="43"/>
        <v/>
      </c>
      <c r="Q165" s="50"/>
      <c r="R165" s="67"/>
    </row>
    <row r="166" spans="1:18" ht="15" customHeight="1" x14ac:dyDescent="0.2">
      <c r="A166" s="50"/>
      <c r="B166" s="55"/>
      <c r="C166" s="191" t="str">
        <f>IF(D194="","",VLOOKUP(D194,Daten!$CP$10:$CQ$85,2,))</f>
        <v/>
      </c>
      <c r="D166" s="164" t="s">
        <v>57</v>
      </c>
      <c r="E166" s="125"/>
      <c r="F166" s="125"/>
      <c r="G166" s="252">
        <f>SUM(G156:G165)</f>
        <v>50000</v>
      </c>
      <c r="H166" s="963">
        <f>SUM(H156:H165)</f>
        <v>0</v>
      </c>
      <c r="I166" s="963"/>
      <c r="J166" s="253"/>
      <c r="K166" s="253"/>
      <c r="L166" s="254"/>
      <c r="M166" s="255">
        <f>SUM(M156:M165)</f>
        <v>350</v>
      </c>
      <c r="N166" s="256">
        <f>SUM(N156:N165)</f>
        <v>200</v>
      </c>
      <c r="O166" s="256">
        <f>SUM(O156:O165)</f>
        <v>0</v>
      </c>
      <c r="P166" s="257">
        <f>SUM(P156:P165)</f>
        <v>0</v>
      </c>
      <c r="Q166" s="55"/>
      <c r="R166" s="67"/>
    </row>
    <row r="167" spans="1:18" ht="15" customHeight="1" x14ac:dyDescent="0.2">
      <c r="A167" s="50"/>
      <c r="B167" s="55"/>
      <c r="C167" s="191" t="str">
        <f>IF(D195="","",VLOOKUP(D195,Daten!$CP$10:$CQ$85,2,))</f>
        <v/>
      </c>
      <c r="D167" s="164"/>
      <c r="E167" s="125"/>
      <c r="F167" s="125"/>
      <c r="G167" s="172"/>
      <c r="H167" s="173"/>
      <c r="I167" s="125"/>
      <c r="J167" s="172"/>
      <c r="K167" s="172"/>
      <c r="L167" s="172"/>
      <c r="M167" s="174"/>
      <c r="N167" s="174"/>
      <c r="O167" s="174"/>
      <c r="P167" s="175"/>
      <c r="Q167" s="55"/>
      <c r="R167" s="67"/>
    </row>
    <row r="168" spans="1:18" ht="15" customHeight="1" x14ac:dyDescent="0.2">
      <c r="A168" s="50"/>
      <c r="B168" s="55"/>
      <c r="C168" s="98" t="str">
        <f>IF(D196="","",VLOOKUP(D196,Daten!$CP$10:$CQ$85,2,))</f>
        <v/>
      </c>
      <c r="D168" s="931" t="s">
        <v>80</v>
      </c>
      <c r="E168" s="931"/>
      <c r="F168" s="931"/>
      <c r="G168" s="931"/>
      <c r="H168" s="931"/>
      <c r="I168" s="931"/>
      <c r="J168" s="931"/>
      <c r="K168" s="931"/>
      <c r="L168" s="931"/>
      <c r="M168" s="931"/>
      <c r="N168" s="931"/>
      <c r="O168" s="931"/>
      <c r="P168" s="931"/>
      <c r="Q168" s="50"/>
      <c r="R168" s="67"/>
    </row>
    <row r="169" spans="1:18" ht="15" customHeight="1" x14ac:dyDescent="0.2">
      <c r="A169" s="50"/>
      <c r="B169" s="55"/>
      <c r="C169" s="98" t="str">
        <f>IF(D197="","",VLOOKUP(D197,Daten!$CP$10:$CQ$85,2,))</f>
        <v/>
      </c>
      <c r="D169" s="79"/>
      <c r="E169" s="971" t="s">
        <v>81</v>
      </c>
      <c r="F169" s="971"/>
      <c r="G169" s="932" t="s">
        <v>28</v>
      </c>
      <c r="H169" s="932"/>
      <c r="I169" s="932"/>
      <c r="J169" s="933" t="s">
        <v>29</v>
      </c>
      <c r="K169" s="933"/>
      <c r="L169" s="81"/>
      <c r="M169" s="934" t="s">
        <v>30</v>
      </c>
      <c r="N169" s="934"/>
      <c r="O169" s="934" t="s">
        <v>31</v>
      </c>
      <c r="P169" s="934"/>
      <c r="Q169" s="50"/>
      <c r="R169" s="67"/>
    </row>
    <row r="170" spans="1:18" ht="15" customHeight="1" x14ac:dyDescent="0.2">
      <c r="A170" s="50"/>
      <c r="B170" s="55"/>
      <c r="C170" s="98"/>
      <c r="D170" s="178" t="s">
        <v>33</v>
      </c>
      <c r="E170" s="972" t="s">
        <v>82</v>
      </c>
      <c r="F170" s="972"/>
      <c r="G170" s="84" t="s">
        <v>34</v>
      </c>
      <c r="H170" s="936" t="s">
        <v>35</v>
      </c>
      <c r="I170" s="936"/>
      <c r="J170" s="85" t="s">
        <v>36</v>
      </c>
      <c r="K170" s="86" t="s">
        <v>37</v>
      </c>
      <c r="L170" s="87" t="s">
        <v>38</v>
      </c>
      <c r="M170" s="88" t="s">
        <v>39</v>
      </c>
      <c r="N170" s="89" t="s">
        <v>40</v>
      </c>
      <c r="O170" s="88" t="s">
        <v>39</v>
      </c>
      <c r="P170" s="89" t="s">
        <v>40</v>
      </c>
      <c r="Q170" s="50"/>
      <c r="R170" s="67"/>
    </row>
    <row r="171" spans="1:18" ht="15" customHeight="1" x14ac:dyDescent="0.2">
      <c r="A171" s="50"/>
      <c r="B171" s="55"/>
      <c r="C171" s="98">
        <f>IF(D171="","",VLOOKUP(D171,Daten!$CR$10:$CS$60,2,))</f>
        <v>45</v>
      </c>
      <c r="D171" s="258" t="s">
        <v>83</v>
      </c>
      <c r="E171" s="973"/>
      <c r="F171" s="973"/>
      <c r="G171" s="142"/>
      <c r="H171" s="941">
        <v>271000</v>
      </c>
      <c r="I171" s="941"/>
      <c r="J171" s="92">
        <f>IF(C171="","",VLOOKUP(C171,Daten!$AD$11:$AM$59,7)/10)</f>
        <v>0.49000000000000005</v>
      </c>
      <c r="K171" s="92">
        <f>IF(C171="","",VLOOKUP(C171,Daten!$AD$11:$AM$59,9)/10)</f>
        <v>0.32</v>
      </c>
      <c r="L171" s="93">
        <f>IF(C92="","",VLOOKUP(C92,Daten!$BS$9:$BY$20,7))</f>
        <v>0.65</v>
      </c>
      <c r="M171" s="94">
        <f t="shared" ref="M171:M185" si="44">IF(C171="","",$G171*J171/100)</f>
        <v>0</v>
      </c>
      <c r="N171" s="145">
        <f t="shared" ref="N171:N185" si="45">IF(C171="","",$G171*K171/100)</f>
        <v>0</v>
      </c>
      <c r="O171" s="146">
        <f t="shared" ref="O171:O185" si="46">IF(C171="","",$H171*J171/100)</f>
        <v>1327.9</v>
      </c>
      <c r="P171" s="147">
        <f t="shared" ref="P171:P185" si="47">IF(C171="","",$H171*K171/100)</f>
        <v>867.2</v>
      </c>
      <c r="Q171" s="50"/>
      <c r="R171" s="67"/>
    </row>
    <row r="172" spans="1:18" ht="15" customHeight="1" x14ac:dyDescent="0.2">
      <c r="A172" s="50"/>
      <c r="B172" s="55"/>
      <c r="C172" s="98">
        <f>IF(D172="","",VLOOKUP(D172,Daten!$CR$10:$CS$60,2,))</f>
        <v>26</v>
      </c>
      <c r="D172" s="16" t="s">
        <v>84</v>
      </c>
      <c r="E172" s="974"/>
      <c r="F172" s="974"/>
      <c r="G172" s="148"/>
      <c r="H172" s="941">
        <v>50000</v>
      </c>
      <c r="I172" s="941"/>
      <c r="J172" s="92">
        <f>IF(C172="","",VLOOKUP(C172,Daten!$AD$11:$AM$59,7)/10)</f>
        <v>0.52</v>
      </c>
      <c r="K172" s="92">
        <f>IF(C172="","",VLOOKUP(C172,Daten!$AD$11:$AM$59,9)/10)</f>
        <v>0.2</v>
      </c>
      <c r="L172" s="93">
        <f>IF(C93="","",VLOOKUP(C93,Daten!$BS$9:$BY$20,7))</f>
        <v>0</v>
      </c>
      <c r="M172" s="94">
        <f t="shared" si="44"/>
        <v>0</v>
      </c>
      <c r="N172" s="145">
        <f t="shared" si="45"/>
        <v>0</v>
      </c>
      <c r="O172" s="150">
        <f t="shared" si="46"/>
        <v>260</v>
      </c>
      <c r="P172" s="147">
        <f t="shared" si="47"/>
        <v>100</v>
      </c>
      <c r="Q172" s="50"/>
      <c r="R172" s="67"/>
    </row>
    <row r="173" spans="1:18" ht="15" customHeight="1" x14ac:dyDescent="0.2">
      <c r="A173" s="50"/>
      <c r="B173" s="55"/>
      <c r="C173" s="98" t="str">
        <f>IF(D173="","",VLOOKUP(D173,Daten!$CR$10:$CS$60,2,))</f>
        <v/>
      </c>
      <c r="D173" s="16"/>
      <c r="E173" s="974"/>
      <c r="F173" s="974"/>
      <c r="G173" s="148"/>
      <c r="H173" s="941"/>
      <c r="I173" s="941"/>
      <c r="J173" s="92" t="str">
        <f>IF(C173="","",VLOOKUP(C173,Daten!$AD$11:$AM$59,7)/10)</f>
        <v/>
      </c>
      <c r="K173" s="92" t="str">
        <f>IF(C173="","",VLOOKUP(C173,Daten!$AD$11:$AM$59,9)/10)</f>
        <v/>
      </c>
      <c r="L173" s="93" t="str">
        <f>IF(C94="","",VLOOKUP(C94,Daten!$BS$9:$BY$20,7))</f>
        <v/>
      </c>
      <c r="M173" s="94" t="str">
        <f t="shared" si="44"/>
        <v/>
      </c>
      <c r="N173" s="145" t="str">
        <f t="shared" si="45"/>
        <v/>
      </c>
      <c r="O173" s="150" t="str">
        <f t="shared" si="46"/>
        <v/>
      </c>
      <c r="P173" s="147" t="str">
        <f t="shared" si="47"/>
        <v/>
      </c>
      <c r="Q173" s="50"/>
      <c r="R173" s="67"/>
    </row>
    <row r="174" spans="1:18" ht="15" customHeight="1" x14ac:dyDescent="0.2">
      <c r="A174" s="50"/>
      <c r="B174" s="55"/>
      <c r="C174" s="98" t="str">
        <f>IF(D174="","",VLOOKUP(D174,Daten!$CR$10:$CS$60,2,))</f>
        <v/>
      </c>
      <c r="D174" s="16"/>
      <c r="E174" s="974"/>
      <c r="F174" s="974"/>
      <c r="G174" s="148"/>
      <c r="H174" s="941"/>
      <c r="I174" s="941"/>
      <c r="J174" s="92" t="str">
        <f>IF(C174="","",VLOOKUP(C174,Daten!$AD$11:$AM$59,7)/10)</f>
        <v/>
      </c>
      <c r="K174" s="92" t="str">
        <f>IF(C174="","",VLOOKUP(C174,Daten!$AD$11:$AM$59,9)/10)</f>
        <v/>
      </c>
      <c r="L174" s="93" t="str">
        <f>IF(C95="","",VLOOKUP(C95,Daten!$BS$9:$BY$20,7))</f>
        <v/>
      </c>
      <c r="M174" s="94" t="str">
        <f t="shared" si="44"/>
        <v/>
      </c>
      <c r="N174" s="145" t="str">
        <f t="shared" si="45"/>
        <v/>
      </c>
      <c r="O174" s="150" t="str">
        <f t="shared" si="46"/>
        <v/>
      </c>
      <c r="P174" s="147" t="str">
        <f t="shared" si="47"/>
        <v/>
      </c>
      <c r="Q174" s="50"/>
      <c r="R174" s="67"/>
    </row>
    <row r="175" spans="1:18" ht="15" customHeight="1" x14ac:dyDescent="0.2">
      <c r="A175" s="50"/>
      <c r="B175" s="55"/>
      <c r="C175" s="98" t="str">
        <f>IF(D175="","",VLOOKUP(D175,Daten!$CR$10:$CS$60,2,))</f>
        <v/>
      </c>
      <c r="D175" s="13"/>
      <c r="E175" s="975"/>
      <c r="F175" s="975"/>
      <c r="G175" s="151"/>
      <c r="H175" s="943"/>
      <c r="I175" s="943"/>
      <c r="J175" s="102" t="str">
        <f>IF(C175="","",VLOOKUP(C175,Daten!$AD$11:$AM$59,7)/10)</f>
        <v/>
      </c>
      <c r="K175" s="102" t="str">
        <f>IF(C175="","",VLOOKUP(C175,Daten!$AD$11:$AM$59,9)/10)</f>
        <v/>
      </c>
      <c r="L175" s="103" t="str">
        <f>IF(C96="","",VLOOKUP(C96,Daten!$BS$9:$BY$20,7))</f>
        <v/>
      </c>
      <c r="M175" s="104" t="str">
        <f t="shared" si="44"/>
        <v/>
      </c>
      <c r="N175" s="154" t="str">
        <f t="shared" si="45"/>
        <v/>
      </c>
      <c r="O175" s="155" t="str">
        <f t="shared" si="46"/>
        <v/>
      </c>
      <c r="P175" s="156" t="str">
        <f t="shared" si="47"/>
        <v/>
      </c>
      <c r="Q175" s="50"/>
      <c r="R175" s="67"/>
    </row>
    <row r="176" spans="1:18" ht="15" customHeight="1" x14ac:dyDescent="0.2">
      <c r="A176" s="50"/>
      <c r="B176" s="55"/>
      <c r="C176" s="98" t="str">
        <f>IF(D176="","",VLOOKUP(D176,Daten!$CR$10:$CS$60,2,))</f>
        <v/>
      </c>
      <c r="D176" s="16"/>
      <c r="E176" s="974"/>
      <c r="F176" s="974"/>
      <c r="G176" s="148"/>
      <c r="H176" s="941"/>
      <c r="I176" s="941"/>
      <c r="J176" s="92" t="str">
        <f>IF(C176="","",VLOOKUP(C176,Daten!$AD$11:$AM$59,7)/10)</f>
        <v/>
      </c>
      <c r="K176" s="92" t="str">
        <f>IF(C176="","",VLOOKUP(C176,Daten!$AD$11:$AM$59,9)/10)</f>
        <v/>
      </c>
      <c r="L176" s="93" t="str">
        <f>IF(C97="","",VLOOKUP(C97,Daten!$BS$9:$BY$20,7))</f>
        <v/>
      </c>
      <c r="M176" s="94" t="str">
        <f t="shared" si="44"/>
        <v/>
      </c>
      <c r="N176" s="145" t="str">
        <f t="shared" si="45"/>
        <v/>
      </c>
      <c r="O176" s="150" t="str">
        <f t="shared" si="46"/>
        <v/>
      </c>
      <c r="P176" s="147" t="str">
        <f t="shared" si="47"/>
        <v/>
      </c>
      <c r="Q176" s="50"/>
      <c r="R176" s="67"/>
    </row>
    <row r="177" spans="1:18" ht="15" customHeight="1" x14ac:dyDescent="0.2">
      <c r="A177" s="50"/>
      <c r="B177" s="55"/>
      <c r="C177" s="98" t="str">
        <f>IF(D177="","",VLOOKUP(D177,Daten!$CR$10:$CS$60,2,))</f>
        <v/>
      </c>
      <c r="D177" s="16"/>
      <c r="E177" s="974"/>
      <c r="F177" s="974"/>
      <c r="G177" s="148"/>
      <c r="H177" s="941"/>
      <c r="I177" s="941"/>
      <c r="J177" s="92" t="str">
        <f>IF(C177="","",VLOOKUP(C177,Daten!$AD$11:$AM$59,7)/10)</f>
        <v/>
      </c>
      <c r="K177" s="92" t="str">
        <f>IF(C177="","",VLOOKUP(C177,Daten!$AD$11:$AM$59,9)/10)</f>
        <v/>
      </c>
      <c r="L177" s="93" t="str">
        <f>IF(C98="","",VLOOKUP(C98,Daten!$BS$9:$BY$20,7))</f>
        <v/>
      </c>
      <c r="M177" s="94" t="str">
        <f t="shared" si="44"/>
        <v/>
      </c>
      <c r="N177" s="145" t="str">
        <f t="shared" si="45"/>
        <v/>
      </c>
      <c r="O177" s="150" t="str">
        <f t="shared" si="46"/>
        <v/>
      </c>
      <c r="P177" s="147" t="str">
        <f t="shared" si="47"/>
        <v/>
      </c>
      <c r="Q177" s="50"/>
      <c r="R177" s="67"/>
    </row>
    <row r="178" spans="1:18" ht="18" customHeight="1" x14ac:dyDescent="0.2">
      <c r="A178" s="50"/>
      <c r="B178" s="55"/>
      <c r="C178" s="98" t="str">
        <f>IF(D178="","",VLOOKUP(D178,Daten!$CR$10:$CS$60,2,))</f>
        <v/>
      </c>
      <c r="D178" s="16"/>
      <c r="E178" s="974"/>
      <c r="F178" s="974"/>
      <c r="G178" s="148"/>
      <c r="H178" s="941"/>
      <c r="I178" s="941"/>
      <c r="J178" s="92" t="str">
        <f>IF(C178="","",VLOOKUP(C178,Daten!$AD$11:$AM$59,7)/10)</f>
        <v/>
      </c>
      <c r="K178" s="92" t="str">
        <f>IF(C178="","",VLOOKUP(C178,Daten!$AD$11:$AM$59,9)/10)</f>
        <v/>
      </c>
      <c r="L178" s="93" t="str">
        <f>IF(C99="","",VLOOKUP(C99,Daten!$BS$9:$BY$20,7))</f>
        <v/>
      </c>
      <c r="M178" s="94" t="str">
        <f t="shared" si="44"/>
        <v/>
      </c>
      <c r="N178" s="145" t="str">
        <f t="shared" si="45"/>
        <v/>
      </c>
      <c r="O178" s="150" t="str">
        <f t="shared" si="46"/>
        <v/>
      </c>
      <c r="P178" s="147" t="str">
        <f t="shared" si="47"/>
        <v/>
      </c>
      <c r="Q178" s="50"/>
      <c r="R178" s="67"/>
    </row>
    <row r="179" spans="1:18" ht="18" customHeight="1" x14ac:dyDescent="0.2">
      <c r="A179" s="50"/>
      <c r="B179" s="55"/>
      <c r="C179" s="98" t="str">
        <f>IF(D179="","",VLOOKUP(D179,Daten!$CR$10:$CS$60,2,))</f>
        <v/>
      </c>
      <c r="D179" s="16"/>
      <c r="E179" s="974"/>
      <c r="F179" s="974"/>
      <c r="G179" s="148"/>
      <c r="H179" s="941"/>
      <c r="I179" s="941"/>
      <c r="J179" s="92" t="str">
        <f>IF(C179="","",VLOOKUP(C179,Daten!$AD$11:$AM$59,7)/10)</f>
        <v/>
      </c>
      <c r="K179" s="92" t="str">
        <f>IF(C179="","",VLOOKUP(C179,Daten!$AD$11:$AM$59,9)/10)</f>
        <v/>
      </c>
      <c r="L179" s="93" t="str">
        <f>IF(C100="","",VLOOKUP(C100,Daten!$BS$9:$BY$20,7))</f>
        <v/>
      </c>
      <c r="M179" s="94" t="str">
        <f t="shared" si="44"/>
        <v/>
      </c>
      <c r="N179" s="145" t="str">
        <f t="shared" si="45"/>
        <v/>
      </c>
      <c r="O179" s="150" t="str">
        <f t="shared" si="46"/>
        <v/>
      </c>
      <c r="P179" s="147" t="str">
        <f t="shared" si="47"/>
        <v/>
      </c>
      <c r="Q179" s="50"/>
      <c r="R179" s="67"/>
    </row>
    <row r="180" spans="1:18" ht="18" customHeight="1" x14ac:dyDescent="0.2">
      <c r="A180" s="50"/>
      <c r="B180" s="55"/>
      <c r="C180" s="98" t="str">
        <f>IF(D180="","",VLOOKUP(D180,Daten!$CR$10:$CS$60,2,))</f>
        <v/>
      </c>
      <c r="D180" s="13"/>
      <c r="E180" s="975"/>
      <c r="F180" s="975"/>
      <c r="G180" s="151"/>
      <c r="H180" s="943"/>
      <c r="I180" s="943"/>
      <c r="J180" s="102" t="str">
        <f>IF(C180="","",VLOOKUP(C180,Daten!$AD$11:$AM$59,7)/10)</f>
        <v/>
      </c>
      <c r="K180" s="102" t="str">
        <f>IF(C180="","",VLOOKUP(C180,Daten!$AD$11:$AM$59,9)/10)</f>
        <v/>
      </c>
      <c r="L180" s="103" t="str">
        <f>IF(C101="","",VLOOKUP(C101,Daten!$BS$9:$BY$20,7))</f>
        <v/>
      </c>
      <c r="M180" s="104" t="str">
        <f t="shared" si="44"/>
        <v/>
      </c>
      <c r="N180" s="154" t="str">
        <f t="shared" si="45"/>
        <v/>
      </c>
      <c r="O180" s="155" t="str">
        <f t="shared" si="46"/>
        <v/>
      </c>
      <c r="P180" s="156" t="str">
        <f t="shared" si="47"/>
        <v/>
      </c>
      <c r="Q180" s="50"/>
      <c r="R180" s="67"/>
    </row>
    <row r="181" spans="1:18" ht="18" customHeight="1" x14ac:dyDescent="0.2">
      <c r="A181" s="50"/>
      <c r="B181" s="55"/>
      <c r="C181" s="98" t="str">
        <f>IF(D181="","",VLOOKUP(D181,Daten!$CR$10:$CS$60,2,))</f>
        <v/>
      </c>
      <c r="D181" s="16"/>
      <c r="E181" s="974"/>
      <c r="F181" s="974"/>
      <c r="G181" s="148"/>
      <c r="H181" s="941"/>
      <c r="I181" s="941"/>
      <c r="J181" s="92" t="str">
        <f>IF(C181="","",VLOOKUP(C181,Daten!$AD$11:$AM$59,7)/10)</f>
        <v/>
      </c>
      <c r="K181" s="92" t="str">
        <f>IF(C181="","",VLOOKUP(C181,Daten!$AD$11:$AM$59,9)/10)</f>
        <v/>
      </c>
      <c r="L181" s="93" t="str">
        <f>IF(C102="","",VLOOKUP(C102,Daten!$BS$9:$BY$20,7))</f>
        <v/>
      </c>
      <c r="M181" s="94" t="str">
        <f t="shared" si="44"/>
        <v/>
      </c>
      <c r="N181" s="145" t="str">
        <f t="shared" si="45"/>
        <v/>
      </c>
      <c r="O181" s="150" t="str">
        <f t="shared" si="46"/>
        <v/>
      </c>
      <c r="P181" s="147" t="str">
        <f t="shared" si="47"/>
        <v/>
      </c>
      <c r="Q181" s="50"/>
      <c r="R181" s="67"/>
    </row>
    <row r="182" spans="1:18" ht="18" customHeight="1" x14ac:dyDescent="0.2">
      <c r="A182" s="50"/>
      <c r="B182" s="55"/>
      <c r="C182" s="98" t="str">
        <f>IF(D182="","",VLOOKUP(D182,Daten!$CR$10:$CS$60,2,))</f>
        <v/>
      </c>
      <c r="D182" s="16"/>
      <c r="E182" s="974"/>
      <c r="F182" s="974"/>
      <c r="G182" s="148"/>
      <c r="H182" s="941"/>
      <c r="I182" s="941"/>
      <c r="J182" s="92" t="str">
        <f>IF(C182="","",VLOOKUP(C182,Daten!$AD$11:$AM$59,7)/10)</f>
        <v/>
      </c>
      <c r="K182" s="92" t="str">
        <f>IF(C182="","",VLOOKUP(C182,Daten!$AD$11:$AM$59,9)/10)</f>
        <v/>
      </c>
      <c r="L182" s="93" t="str">
        <f>IF(C103="","",VLOOKUP(C103,Daten!$BS$9:$BY$20,7))</f>
        <v/>
      </c>
      <c r="M182" s="94" t="str">
        <f t="shared" si="44"/>
        <v/>
      </c>
      <c r="N182" s="145" t="str">
        <f t="shared" si="45"/>
        <v/>
      </c>
      <c r="O182" s="150" t="str">
        <f t="shared" si="46"/>
        <v/>
      </c>
      <c r="P182" s="147" t="str">
        <f t="shared" si="47"/>
        <v/>
      </c>
      <c r="Q182" s="50"/>
      <c r="R182" s="67"/>
    </row>
    <row r="183" spans="1:18" ht="15" customHeight="1" x14ac:dyDescent="0.2">
      <c r="A183" s="50"/>
      <c r="B183" s="55"/>
      <c r="C183" s="98" t="str">
        <f>IF(D183="","",VLOOKUP(D183,Daten!$CR$10:$CS$60,2,))</f>
        <v/>
      </c>
      <c r="D183" s="16"/>
      <c r="E183" s="974"/>
      <c r="F183" s="974"/>
      <c r="G183" s="148"/>
      <c r="H183" s="941"/>
      <c r="I183" s="941"/>
      <c r="J183" s="92" t="str">
        <f>IF(C183="","",VLOOKUP(C183,Daten!$AD$11:$AM$59,7)/10)</f>
        <v/>
      </c>
      <c r="K183" s="92" t="str">
        <f>IF(C183="","",VLOOKUP(C183,Daten!$AD$11:$AM$59,9)/10)</f>
        <v/>
      </c>
      <c r="L183" s="93" t="str">
        <f>IF(C104="","",VLOOKUP(C104,Daten!$BS$9:$BY$20,7))</f>
        <v/>
      </c>
      <c r="M183" s="94" t="str">
        <f t="shared" si="44"/>
        <v/>
      </c>
      <c r="N183" s="145" t="str">
        <f t="shared" si="45"/>
        <v/>
      </c>
      <c r="O183" s="150" t="str">
        <f t="shared" si="46"/>
        <v/>
      </c>
      <c r="P183" s="147" t="str">
        <f t="shared" si="47"/>
        <v/>
      </c>
      <c r="Q183" s="50"/>
      <c r="R183" s="67"/>
    </row>
    <row r="184" spans="1:18" ht="18" customHeight="1" x14ac:dyDescent="0.2">
      <c r="A184" s="50"/>
      <c r="B184" s="55"/>
      <c r="C184" s="98" t="str">
        <f>IF(D184="","",VLOOKUP(D184,Daten!$CR$10:$CS$60,2,))</f>
        <v/>
      </c>
      <c r="D184" s="16"/>
      <c r="E184" s="974"/>
      <c r="F184" s="974"/>
      <c r="G184" s="148"/>
      <c r="H184" s="941"/>
      <c r="I184" s="941"/>
      <c r="J184" s="92" t="str">
        <f>IF(C184="","",VLOOKUP(C184,Daten!$AD$11:$AM$59,7)/10)</f>
        <v/>
      </c>
      <c r="K184" s="92" t="str">
        <f>IF(C184="","",VLOOKUP(C184,Daten!$AD$11:$AM$59,9)/10)</f>
        <v/>
      </c>
      <c r="L184" s="93" t="str">
        <f>IF(C105="","",VLOOKUP(C105,Daten!$BS$9:$BY$20,7))</f>
        <v/>
      </c>
      <c r="M184" s="94" t="str">
        <f t="shared" si="44"/>
        <v/>
      </c>
      <c r="N184" s="145" t="str">
        <f t="shared" si="45"/>
        <v/>
      </c>
      <c r="O184" s="150" t="str">
        <f t="shared" si="46"/>
        <v/>
      </c>
      <c r="P184" s="147" t="str">
        <f t="shared" si="47"/>
        <v/>
      </c>
      <c r="Q184" s="50"/>
      <c r="R184" s="67"/>
    </row>
    <row r="185" spans="1:18" ht="18" customHeight="1" x14ac:dyDescent="0.2">
      <c r="A185" s="50"/>
      <c r="B185" s="55"/>
      <c r="C185" s="98" t="str">
        <f>IF(D185="","",VLOOKUP(D185,Daten!$CR$10:$CS$60,2,))</f>
        <v/>
      </c>
      <c r="D185" s="15"/>
      <c r="E185" s="976"/>
      <c r="F185" s="976"/>
      <c r="G185" s="157"/>
      <c r="H185" s="945"/>
      <c r="I185" s="945"/>
      <c r="J185" s="109" t="str">
        <f>IF(C185="","",VLOOKUP(C185,Daten!$AD$11:$AM$59,7)/10)</f>
        <v/>
      </c>
      <c r="K185" s="109" t="str">
        <f>IF(C185="","",VLOOKUP(C185,Daten!$AD$11:$AM$59,9)/10)</f>
        <v/>
      </c>
      <c r="L185" s="110" t="str">
        <f>IF(C106="","",VLOOKUP(C106,Daten!$BS$9:$BY$20,7))</f>
        <v/>
      </c>
      <c r="M185" s="111" t="str">
        <f t="shared" si="44"/>
        <v/>
      </c>
      <c r="N185" s="160" t="str">
        <f t="shared" si="45"/>
        <v/>
      </c>
      <c r="O185" s="161" t="str">
        <f t="shared" si="46"/>
        <v/>
      </c>
      <c r="P185" s="162" t="str">
        <f t="shared" si="47"/>
        <v/>
      </c>
      <c r="Q185" s="50"/>
      <c r="R185" s="67"/>
    </row>
    <row r="186" spans="1:18" ht="15" customHeight="1" x14ac:dyDescent="0.2">
      <c r="A186" s="50"/>
      <c r="B186" s="55"/>
      <c r="C186" s="55"/>
      <c r="D186" s="164" t="s">
        <v>57</v>
      </c>
      <c r="E186" s="125"/>
      <c r="F186" s="125"/>
      <c r="G186" s="252">
        <f>SUM(G171:G185)</f>
        <v>0</v>
      </c>
      <c r="H186" s="963">
        <f>SUM(H171:H185)</f>
        <v>321000</v>
      </c>
      <c r="I186" s="963"/>
      <c r="J186" s="253"/>
      <c r="K186" s="253"/>
      <c r="L186" s="254"/>
      <c r="M186" s="255">
        <f>SUM(M171:M185)</f>
        <v>0</v>
      </c>
      <c r="N186" s="256">
        <f>SUM(N171:N185)</f>
        <v>0</v>
      </c>
      <c r="O186" s="259">
        <f>SUM(O171:O185)</f>
        <v>1587.9</v>
      </c>
      <c r="P186" s="257">
        <f>SUM(P171:P185)</f>
        <v>967.2</v>
      </c>
      <c r="Q186" s="55"/>
      <c r="R186" s="67"/>
    </row>
    <row r="187" spans="1:18" ht="15" customHeight="1" x14ac:dyDescent="0.2">
      <c r="A187" s="50"/>
      <c r="B187" s="55"/>
      <c r="C187" s="55"/>
      <c r="D187" s="164"/>
      <c r="E187" s="125"/>
      <c r="F187" s="125"/>
      <c r="G187" s="172"/>
      <c r="H187" s="173"/>
      <c r="I187" s="125"/>
      <c r="J187" s="172"/>
      <c r="K187" s="172"/>
      <c r="L187" s="172"/>
      <c r="M187" s="174"/>
      <c r="N187" s="174"/>
      <c r="O187" s="174"/>
      <c r="P187" s="175"/>
      <c r="Q187" s="55"/>
      <c r="R187" s="67"/>
    </row>
    <row r="188" spans="1:18" ht="15" customHeight="1" x14ac:dyDescent="0.2">
      <c r="A188" s="50"/>
      <c r="B188" s="55"/>
      <c r="C188" s="98" t="str">
        <f>IF(D322="","",VLOOKUP(D322,Daten!$CR$10:$CS$59,2,))</f>
        <v/>
      </c>
      <c r="D188" s="931" t="s">
        <v>85</v>
      </c>
      <c r="E188" s="931"/>
      <c r="F188" s="931"/>
      <c r="G188" s="931"/>
      <c r="H188" s="931"/>
      <c r="I188" s="931"/>
      <c r="J188" s="931"/>
      <c r="K188" s="931"/>
      <c r="L188" s="931"/>
      <c r="M188" s="931"/>
      <c r="N188" s="931"/>
      <c r="O188" s="931"/>
      <c r="P188" s="931"/>
      <c r="Q188" s="50"/>
      <c r="R188" s="67"/>
    </row>
    <row r="189" spans="1:18" ht="15" customHeight="1" x14ac:dyDescent="0.2">
      <c r="A189" s="50"/>
      <c r="B189" s="55"/>
      <c r="C189" s="98" t="str">
        <f>IF(D323="","",VLOOKUP(D323,Daten!$CR$10:$CS$59,2,))</f>
        <v/>
      </c>
      <c r="D189" s="79"/>
      <c r="E189" s="80"/>
      <c r="F189" s="80"/>
      <c r="G189" s="932" t="s">
        <v>28</v>
      </c>
      <c r="H189" s="932"/>
      <c r="I189" s="932"/>
      <c r="J189" s="933" t="s">
        <v>29</v>
      </c>
      <c r="K189" s="933"/>
      <c r="L189" s="81"/>
      <c r="M189" s="934" t="s">
        <v>30</v>
      </c>
      <c r="N189" s="934"/>
      <c r="O189" s="934" t="s">
        <v>31</v>
      </c>
      <c r="P189" s="934"/>
      <c r="Q189" s="50"/>
      <c r="R189" s="67"/>
    </row>
    <row r="190" spans="1:18" ht="15" customHeight="1" x14ac:dyDescent="0.2">
      <c r="A190" s="50"/>
      <c r="B190" s="55"/>
      <c r="C190" s="98" t="str">
        <f>IF(D324="","",VLOOKUP(D324,Daten!$CR$10:$CS$59,2,))</f>
        <v/>
      </c>
      <c r="D190" s="951" t="s">
        <v>33</v>
      </c>
      <c r="E190" s="951"/>
      <c r="F190" s="951"/>
      <c r="G190" s="84" t="s">
        <v>34</v>
      </c>
      <c r="H190" s="936" t="s">
        <v>35</v>
      </c>
      <c r="I190" s="936"/>
      <c r="J190" s="85" t="s">
        <v>36</v>
      </c>
      <c r="K190" s="86" t="s">
        <v>37</v>
      </c>
      <c r="L190" s="87" t="s">
        <v>38</v>
      </c>
      <c r="M190" s="88" t="s">
        <v>39</v>
      </c>
      <c r="N190" s="89" t="s">
        <v>40</v>
      </c>
      <c r="O190" s="88" t="s">
        <v>39</v>
      </c>
      <c r="P190" s="89" t="s">
        <v>40</v>
      </c>
      <c r="Q190" s="50"/>
      <c r="R190" s="67"/>
    </row>
    <row r="191" spans="1:18" ht="15" customHeight="1" x14ac:dyDescent="0.2">
      <c r="A191" s="50"/>
      <c r="B191" s="55"/>
      <c r="C191" s="98">
        <f>IF(D191="","",VLOOKUP(D191,Daten!$CP$10:$CQ$124,2,))</f>
        <v>50</v>
      </c>
      <c r="D191" s="953" t="s">
        <v>86</v>
      </c>
      <c r="E191" s="953"/>
      <c r="F191" s="953"/>
      <c r="G191" s="142">
        <v>5000</v>
      </c>
      <c r="H191" s="941"/>
      <c r="I191" s="941"/>
      <c r="J191" s="260">
        <f>IF(C191="","",VLOOKUP(C191,Daten!$T$10:$AB$89,3))</f>
        <v>27</v>
      </c>
      <c r="K191" s="144">
        <f>IF(C191="","",VLOOKUP(C191,Daten!$T$10:$AB$89,4))</f>
        <v>0</v>
      </c>
      <c r="L191" s="93" t="str">
        <f>IF(C117="","",VLOOKUP(C117,Daten!$BS$9:$BY$20,7))</f>
        <v/>
      </c>
      <c r="M191" s="94">
        <f t="shared" ref="M191:M205" si="48">IF(C191="","",$G191*J191/100)</f>
        <v>1350</v>
      </c>
      <c r="N191" s="145">
        <f t="shared" ref="N191:N205" si="49">IF(C191="","",$G191*K191/100)</f>
        <v>0</v>
      </c>
      <c r="O191" s="146">
        <f t="shared" ref="O191:O205" si="50">IF(C191="","",$H191*J191/100)</f>
        <v>0</v>
      </c>
      <c r="P191" s="147">
        <f t="shared" ref="P191:P205" si="51">IF(C191="","",$H191*K191/100)</f>
        <v>0</v>
      </c>
      <c r="Q191" s="50"/>
      <c r="R191" s="67"/>
    </row>
    <row r="192" spans="1:18" ht="15" customHeight="1" x14ac:dyDescent="0.2">
      <c r="A192" s="50"/>
      <c r="B192" s="55"/>
      <c r="C192" s="98">
        <f>IF(D192="","",VLOOKUP(D192,Daten!$CP$10:$CQ$124,2,))</f>
        <v>82</v>
      </c>
      <c r="D192" s="955" t="s">
        <v>87</v>
      </c>
      <c r="E192" s="955"/>
      <c r="F192" s="955"/>
      <c r="G192" s="148">
        <v>5000</v>
      </c>
      <c r="H192" s="941"/>
      <c r="I192" s="941"/>
      <c r="J192" s="144">
        <f>IF(C192="","",VLOOKUP(C192,Daten!$T$10:$AB$89,3))</f>
        <v>16</v>
      </c>
      <c r="K192" s="144">
        <f>IF(C192="","",VLOOKUP(C192,Daten!$T$10:$AB$89,4))</f>
        <v>16</v>
      </c>
      <c r="L192" s="93" t="str">
        <f>IF(C118="","",VLOOKUP(C118,Daten!$BS$9:$BY$20,7))</f>
        <v/>
      </c>
      <c r="M192" s="94">
        <f t="shared" si="48"/>
        <v>800</v>
      </c>
      <c r="N192" s="145">
        <f t="shared" si="49"/>
        <v>800</v>
      </c>
      <c r="O192" s="150">
        <f t="shared" si="50"/>
        <v>0</v>
      </c>
      <c r="P192" s="147">
        <f t="shared" si="51"/>
        <v>0</v>
      </c>
      <c r="Q192" s="50"/>
      <c r="R192" s="67"/>
    </row>
    <row r="193" spans="1:18" ht="15" customHeight="1" x14ac:dyDescent="0.2">
      <c r="A193" s="50"/>
      <c r="B193" s="55"/>
      <c r="C193" s="98" t="str">
        <f>IF(D193="","",VLOOKUP(D193,Daten!$CP$10:$CQ$124,2,))</f>
        <v/>
      </c>
      <c r="D193" s="955"/>
      <c r="E193" s="955"/>
      <c r="F193" s="955"/>
      <c r="G193" s="148"/>
      <c r="H193" s="941"/>
      <c r="I193" s="941"/>
      <c r="J193" s="144" t="str">
        <f>IF(C193="","",VLOOKUP(C193,Daten!$T$10:$AB$89,3))</f>
        <v/>
      </c>
      <c r="K193" s="144" t="str">
        <f>IF(C193="","",VLOOKUP(C193,Daten!$T$10:$AB$89,4))</f>
        <v/>
      </c>
      <c r="L193" s="93" t="str">
        <f>IF(C119="","",VLOOKUP(C119,Daten!$BS$9:$BY$20,7))</f>
        <v/>
      </c>
      <c r="M193" s="94" t="str">
        <f t="shared" si="48"/>
        <v/>
      </c>
      <c r="N193" s="145" t="str">
        <f t="shared" si="49"/>
        <v/>
      </c>
      <c r="O193" s="150" t="str">
        <f t="shared" si="50"/>
        <v/>
      </c>
      <c r="P193" s="147" t="str">
        <f t="shared" si="51"/>
        <v/>
      </c>
      <c r="Q193" s="50"/>
      <c r="R193" s="67"/>
    </row>
    <row r="194" spans="1:18" ht="18" customHeight="1" x14ac:dyDescent="0.2">
      <c r="A194" s="50"/>
      <c r="B194" s="55"/>
      <c r="C194" s="98" t="str">
        <f>IF(D194="","",VLOOKUP(D194,Daten!$CP$10:$CQ$124,2,))</f>
        <v/>
      </c>
      <c r="D194" s="955"/>
      <c r="E194" s="955"/>
      <c r="F194" s="955"/>
      <c r="G194" s="148"/>
      <c r="H194" s="941"/>
      <c r="I194" s="941"/>
      <c r="J194" s="144" t="str">
        <f>IF(C194="","",VLOOKUP(C194,Daten!$T$10:$AB$89,3))</f>
        <v/>
      </c>
      <c r="K194" s="144" t="str">
        <f>IF(C194="","",VLOOKUP(C194,Daten!$T$10:$AB$89,4))</f>
        <v/>
      </c>
      <c r="L194" s="93" t="str">
        <f>IF(C120="","",VLOOKUP(C120,Daten!$BS$9:$BY$20,7))</f>
        <v/>
      </c>
      <c r="M194" s="94" t="str">
        <f t="shared" si="48"/>
        <v/>
      </c>
      <c r="N194" s="145" t="str">
        <f t="shared" si="49"/>
        <v/>
      </c>
      <c r="O194" s="150" t="str">
        <f t="shared" si="50"/>
        <v/>
      </c>
      <c r="P194" s="147" t="str">
        <f t="shared" si="51"/>
        <v/>
      </c>
      <c r="Q194" s="50"/>
      <c r="R194" s="67"/>
    </row>
    <row r="195" spans="1:18" ht="18" customHeight="1" x14ac:dyDescent="0.2">
      <c r="A195" s="50"/>
      <c r="B195" s="55"/>
      <c r="C195" s="98" t="str">
        <f>IF(D195="","",VLOOKUP(D195,Daten!$CP$10:$CQ$124,2,))</f>
        <v/>
      </c>
      <c r="D195" s="956"/>
      <c r="E195" s="956"/>
      <c r="F195" s="956"/>
      <c r="G195" s="151"/>
      <c r="H195" s="943"/>
      <c r="I195" s="943"/>
      <c r="J195" s="153" t="str">
        <f>IF(C195="","",VLOOKUP(C195,Daten!$T$10:$AB$89,3))</f>
        <v/>
      </c>
      <c r="K195" s="153" t="str">
        <f>IF(C195="","",VLOOKUP(C195,Daten!$T$10:$AB$89,4))</f>
        <v/>
      </c>
      <c r="L195" s="103" t="str">
        <f>IF(C121="","",VLOOKUP(C121,Daten!$BS$9:$BY$20,7))</f>
        <v/>
      </c>
      <c r="M195" s="104" t="str">
        <f t="shared" si="48"/>
        <v/>
      </c>
      <c r="N195" s="154" t="str">
        <f t="shared" si="49"/>
        <v/>
      </c>
      <c r="O195" s="155" t="str">
        <f t="shared" si="50"/>
        <v/>
      </c>
      <c r="P195" s="156" t="str">
        <f t="shared" si="51"/>
        <v/>
      </c>
      <c r="Q195" s="50"/>
      <c r="R195" s="67"/>
    </row>
    <row r="196" spans="1:18" ht="15" customHeight="1" x14ac:dyDescent="0.2">
      <c r="A196" s="50"/>
      <c r="B196" s="55"/>
      <c r="C196" s="98" t="str">
        <f>IF(D196="","",VLOOKUP(D196,Daten!$CP$10:$CQ$124,2,))</f>
        <v/>
      </c>
      <c r="D196" s="955"/>
      <c r="E196" s="955"/>
      <c r="F196" s="955"/>
      <c r="G196" s="148"/>
      <c r="H196" s="941"/>
      <c r="I196" s="941"/>
      <c r="J196" s="144" t="str">
        <f>IF(C196="","",VLOOKUP(C196,Daten!$T$10:$AB$89,3))</f>
        <v/>
      </c>
      <c r="K196" s="144" t="str">
        <f>IF(C196="","",VLOOKUP(C196,Daten!$T$10:$AB$89,4))</f>
        <v/>
      </c>
      <c r="L196" s="93" t="str">
        <f>IF(C122="","",VLOOKUP(C122,Daten!$BS$9:$BY$20,7))</f>
        <v/>
      </c>
      <c r="M196" s="94" t="str">
        <f t="shared" si="48"/>
        <v/>
      </c>
      <c r="N196" s="145" t="str">
        <f t="shared" si="49"/>
        <v/>
      </c>
      <c r="O196" s="150" t="str">
        <f t="shared" si="50"/>
        <v/>
      </c>
      <c r="P196" s="147" t="str">
        <f t="shared" si="51"/>
        <v/>
      </c>
      <c r="Q196" s="50"/>
      <c r="R196" s="67"/>
    </row>
    <row r="197" spans="1:18" ht="15" customHeight="1" x14ac:dyDescent="0.2">
      <c r="A197" s="50"/>
      <c r="B197" s="55"/>
      <c r="C197" s="98" t="str">
        <f>IF(D197="","",VLOOKUP(D197,Daten!$CP$10:$CQ$124,2,))</f>
        <v/>
      </c>
      <c r="D197" s="955"/>
      <c r="E197" s="955"/>
      <c r="F197" s="955"/>
      <c r="G197" s="148"/>
      <c r="H197" s="941"/>
      <c r="I197" s="941"/>
      <c r="J197" s="144" t="str">
        <f>IF(C197="","",VLOOKUP(C197,Daten!$T$10:$AB$89,3))</f>
        <v/>
      </c>
      <c r="K197" s="144" t="str">
        <f>IF(C197="","",VLOOKUP(C197,Daten!$T$10:$AB$89,4))</f>
        <v/>
      </c>
      <c r="L197" s="93" t="str">
        <f>IF(C123="","",VLOOKUP(C123,Daten!$BS$9:$BY$20,7))</f>
        <v/>
      </c>
      <c r="M197" s="94" t="str">
        <f t="shared" si="48"/>
        <v/>
      </c>
      <c r="N197" s="145" t="str">
        <f t="shared" si="49"/>
        <v/>
      </c>
      <c r="O197" s="150" t="str">
        <f t="shared" si="50"/>
        <v/>
      </c>
      <c r="P197" s="147" t="str">
        <f t="shared" si="51"/>
        <v/>
      </c>
      <c r="Q197" s="50"/>
      <c r="R197" s="67"/>
    </row>
    <row r="198" spans="1:18" ht="15" customHeight="1" x14ac:dyDescent="0.2">
      <c r="A198" s="50"/>
      <c r="B198" s="55"/>
      <c r="C198" s="98" t="str">
        <f>IF(D198="","",VLOOKUP(D198,Daten!$CP$10:$CQ$124,2,))</f>
        <v/>
      </c>
      <c r="D198" s="955"/>
      <c r="E198" s="955"/>
      <c r="F198" s="955"/>
      <c r="G198" s="148"/>
      <c r="H198" s="12"/>
      <c r="I198" s="201"/>
      <c r="J198" s="144" t="str">
        <f>IF(C198="","",VLOOKUP(C198,Daten!$T$10:$AB$89,3))</f>
        <v/>
      </c>
      <c r="K198" s="144" t="str">
        <f>IF(C198="","",VLOOKUP(C198,Daten!$T$10:$AB$89,4))</f>
        <v/>
      </c>
      <c r="L198" s="93" t="str">
        <f>IF(C124="","",VLOOKUP(C124,Daten!$BS$9:$BY$20,7))</f>
        <v/>
      </c>
      <c r="M198" s="94" t="str">
        <f t="shared" si="48"/>
        <v/>
      </c>
      <c r="N198" s="145" t="str">
        <f t="shared" si="49"/>
        <v/>
      </c>
      <c r="O198" s="150" t="str">
        <f t="shared" si="50"/>
        <v/>
      </c>
      <c r="P198" s="147" t="str">
        <f t="shared" si="51"/>
        <v/>
      </c>
      <c r="Q198" s="50"/>
      <c r="R198" s="67"/>
    </row>
    <row r="199" spans="1:18" ht="15" customHeight="1" x14ac:dyDescent="0.2">
      <c r="A199" s="50"/>
      <c r="B199" s="55"/>
      <c r="C199" s="98" t="str">
        <f>IF(D199="","",VLOOKUP(D199,Daten!$CP$10:$CQ$124,2,))</f>
        <v/>
      </c>
      <c r="D199" s="955"/>
      <c r="E199" s="955"/>
      <c r="F199" s="955"/>
      <c r="G199" s="148"/>
      <c r="H199" s="12"/>
      <c r="I199" s="201"/>
      <c r="J199" s="144" t="str">
        <f>IF(C199="","",VLOOKUP(C199,Daten!$T$10:$AB$89,3))</f>
        <v/>
      </c>
      <c r="K199" s="144" t="str">
        <f>IF(C199="","",VLOOKUP(C199,Daten!$T$10:$AB$89,4))</f>
        <v/>
      </c>
      <c r="L199" s="93" t="str">
        <f>IF(C125="","",VLOOKUP(C125,Daten!$BS$9:$BY$20,7))</f>
        <v/>
      </c>
      <c r="M199" s="94" t="str">
        <f t="shared" si="48"/>
        <v/>
      </c>
      <c r="N199" s="145" t="str">
        <f t="shared" si="49"/>
        <v/>
      </c>
      <c r="O199" s="150" t="str">
        <f t="shared" si="50"/>
        <v/>
      </c>
      <c r="P199" s="147" t="str">
        <f t="shared" si="51"/>
        <v/>
      </c>
      <c r="Q199" s="50"/>
      <c r="R199" s="67"/>
    </row>
    <row r="200" spans="1:18" ht="15" customHeight="1" x14ac:dyDescent="0.2">
      <c r="A200" s="50"/>
      <c r="B200" s="55"/>
      <c r="C200" s="98" t="str">
        <f>IF(D200="","",VLOOKUP(D200,Daten!$CP$10:$CQ$124,2,))</f>
        <v/>
      </c>
      <c r="D200" s="956"/>
      <c r="E200" s="956"/>
      <c r="F200" s="956"/>
      <c r="G200" s="151"/>
      <c r="H200" s="9"/>
      <c r="I200" s="202"/>
      <c r="J200" s="153" t="str">
        <f>IF(C200="","",VLOOKUP(C200,Daten!$T$10:$AB$89,3))</f>
        <v/>
      </c>
      <c r="K200" s="153" t="str">
        <f>IF(C200="","",VLOOKUP(C200,Daten!$T$10:$AB$89,4))</f>
        <v/>
      </c>
      <c r="L200" s="103" t="str">
        <f>IF(C126="","",VLOOKUP(C126,Daten!$BS$9:$BY$20,7))</f>
        <v/>
      </c>
      <c r="M200" s="104" t="str">
        <f t="shared" si="48"/>
        <v/>
      </c>
      <c r="N200" s="154" t="str">
        <f t="shared" si="49"/>
        <v/>
      </c>
      <c r="O200" s="155" t="str">
        <f t="shared" si="50"/>
        <v/>
      </c>
      <c r="P200" s="156" t="str">
        <f t="shared" si="51"/>
        <v/>
      </c>
      <c r="Q200" s="50"/>
      <c r="R200" s="67"/>
    </row>
    <row r="201" spans="1:18" ht="15" customHeight="1" x14ac:dyDescent="0.2">
      <c r="A201" s="50"/>
      <c r="B201" s="55"/>
      <c r="C201" s="98" t="str">
        <f>IF(D201="","",VLOOKUP(D201,Daten!$CP$10:$CQ$124,2,))</f>
        <v/>
      </c>
      <c r="D201" s="955"/>
      <c r="E201" s="955"/>
      <c r="F201" s="955"/>
      <c r="G201" s="148"/>
      <c r="H201" s="12"/>
      <c r="I201" s="201"/>
      <c r="J201" s="144" t="str">
        <f>IF(C201="","",VLOOKUP(C201,Daten!$T$10:$AB$89,3))</f>
        <v/>
      </c>
      <c r="K201" s="144" t="str">
        <f>IF(C201="","",VLOOKUP(C201,Daten!$T$10:$AB$89,4))</f>
        <v/>
      </c>
      <c r="L201" s="93" t="str">
        <f>IF(C127="","",VLOOKUP(C127,Daten!$BS$9:$BY$20,7))</f>
        <v/>
      </c>
      <c r="M201" s="94" t="str">
        <f t="shared" si="48"/>
        <v/>
      </c>
      <c r="N201" s="145" t="str">
        <f t="shared" si="49"/>
        <v/>
      </c>
      <c r="O201" s="150" t="str">
        <f t="shared" si="50"/>
        <v/>
      </c>
      <c r="P201" s="147" t="str">
        <f t="shared" si="51"/>
        <v/>
      </c>
      <c r="Q201" s="50"/>
      <c r="R201" s="67"/>
    </row>
    <row r="202" spans="1:18" ht="15" customHeight="1" x14ac:dyDescent="0.2">
      <c r="A202" s="50"/>
      <c r="B202" s="55"/>
      <c r="C202" s="98" t="str">
        <f>IF(D202="","",VLOOKUP(D202,Daten!$CP$10:$CQ$124,2,))</f>
        <v/>
      </c>
      <c r="D202" s="955"/>
      <c r="E202" s="955"/>
      <c r="F202" s="955"/>
      <c r="G202" s="148"/>
      <c r="H202" s="12"/>
      <c r="I202" s="201"/>
      <c r="J202" s="144" t="str">
        <f>IF(C202="","",VLOOKUP(C202,Daten!$T$10:$AB$89,3))</f>
        <v/>
      </c>
      <c r="K202" s="144" t="str">
        <f>IF(C202="","",VLOOKUP(C202,Daten!$T$10:$AB$89,4))</f>
        <v/>
      </c>
      <c r="L202" s="93" t="str">
        <f>IF(C128="","",VLOOKUP(C128,Daten!$BS$9:$BY$20,7))</f>
        <v/>
      </c>
      <c r="M202" s="94" t="str">
        <f t="shared" si="48"/>
        <v/>
      </c>
      <c r="N202" s="145" t="str">
        <f t="shared" si="49"/>
        <v/>
      </c>
      <c r="O202" s="150" t="str">
        <f t="shared" si="50"/>
        <v/>
      </c>
      <c r="P202" s="147" t="str">
        <f t="shared" si="51"/>
        <v/>
      </c>
      <c r="Q202" s="50"/>
      <c r="R202" s="67"/>
    </row>
    <row r="203" spans="1:18" ht="15" customHeight="1" x14ac:dyDescent="0.2">
      <c r="A203" s="50"/>
      <c r="B203" s="55"/>
      <c r="C203" s="98" t="str">
        <f>IF(D203="","",VLOOKUP(D203,Daten!$CP$10:$CQ$124,2,))</f>
        <v/>
      </c>
      <c r="D203" s="955"/>
      <c r="E203" s="955"/>
      <c r="F203" s="955"/>
      <c r="G203" s="148"/>
      <c r="H203" s="941"/>
      <c r="I203" s="941"/>
      <c r="J203" s="144" t="str">
        <f>IF(C203="","",VLOOKUP(C203,Daten!$T$10:$AB$89,3))</f>
        <v/>
      </c>
      <c r="K203" s="144" t="str">
        <f>IF(C203="","",VLOOKUP(C203,Daten!$T$10:$AB$89,4))</f>
        <v/>
      </c>
      <c r="L203" s="93" t="str">
        <f>IF(C129="","",VLOOKUP(C129,Daten!$BS$9:$BY$20,7))</f>
        <v/>
      </c>
      <c r="M203" s="94" t="str">
        <f t="shared" si="48"/>
        <v/>
      </c>
      <c r="N203" s="145" t="str">
        <f t="shared" si="49"/>
        <v/>
      </c>
      <c r="O203" s="150" t="str">
        <f t="shared" si="50"/>
        <v/>
      </c>
      <c r="P203" s="147" t="str">
        <f t="shared" si="51"/>
        <v/>
      </c>
      <c r="Q203" s="50"/>
      <c r="R203" s="67"/>
    </row>
    <row r="204" spans="1:18" ht="15" customHeight="1" x14ac:dyDescent="0.2">
      <c r="A204" s="50"/>
      <c r="B204" s="55"/>
      <c r="C204" s="98" t="str">
        <f>IF(D204="","",VLOOKUP(D204,Daten!$CP$10:$CQ$124,2,))</f>
        <v/>
      </c>
      <c r="D204" s="955"/>
      <c r="E204" s="955"/>
      <c r="F204" s="955"/>
      <c r="G204" s="148"/>
      <c r="H204" s="941"/>
      <c r="I204" s="941"/>
      <c r="J204" s="144" t="str">
        <f>IF(C204="","",VLOOKUP(C204,Daten!$T$10:$AB$89,3))</f>
        <v/>
      </c>
      <c r="K204" s="144" t="str">
        <f>IF(C204="","",VLOOKUP(C204,Daten!$T$10:$AB$89,4))</f>
        <v/>
      </c>
      <c r="L204" s="93" t="str">
        <f>IF(C130="","",VLOOKUP(C130,Daten!$BS$9:$BY$20,7))</f>
        <v/>
      </c>
      <c r="M204" s="94" t="str">
        <f t="shared" si="48"/>
        <v/>
      </c>
      <c r="N204" s="145" t="str">
        <f t="shared" si="49"/>
        <v/>
      </c>
      <c r="O204" s="150" t="str">
        <f t="shared" si="50"/>
        <v/>
      </c>
      <c r="P204" s="147" t="str">
        <f t="shared" si="51"/>
        <v/>
      </c>
      <c r="Q204" s="50"/>
      <c r="R204" s="67"/>
    </row>
    <row r="205" spans="1:18" ht="15" customHeight="1" x14ac:dyDescent="0.2">
      <c r="A205" s="50"/>
      <c r="B205" s="55"/>
      <c r="C205" s="98" t="str">
        <f>IF(D205="","",VLOOKUP(D205,Daten!$CP$10:$CQ$124,2,))</f>
        <v/>
      </c>
      <c r="D205" s="958"/>
      <c r="E205" s="958"/>
      <c r="F205" s="958"/>
      <c r="G205" s="157"/>
      <c r="H205" s="945"/>
      <c r="I205" s="945"/>
      <c r="J205" s="159" t="str">
        <f>IF(C205="","",VLOOKUP(C205,Daten!$T$10:$AB$89,3))</f>
        <v/>
      </c>
      <c r="K205" s="159" t="str">
        <f>IF(C205="","",VLOOKUP(C205,Daten!$T$10:$AB$89,4))</f>
        <v/>
      </c>
      <c r="L205" s="110" t="str">
        <f>IF(C131="","",VLOOKUP(C131,Daten!$BS$9:$BY$20,7))</f>
        <v/>
      </c>
      <c r="M205" s="111" t="str">
        <f t="shared" si="48"/>
        <v/>
      </c>
      <c r="N205" s="160" t="str">
        <f t="shared" si="49"/>
        <v/>
      </c>
      <c r="O205" s="161" t="str">
        <f t="shared" si="50"/>
        <v/>
      </c>
      <c r="P205" s="162" t="str">
        <f t="shared" si="51"/>
        <v/>
      </c>
      <c r="Q205" s="50"/>
      <c r="R205" s="67"/>
    </row>
    <row r="206" spans="1:18" ht="15" hidden="1" customHeight="1" x14ac:dyDescent="0.2">
      <c r="A206" s="50"/>
      <c r="B206" s="261"/>
      <c r="C206" s="261"/>
      <c r="D206" s="977"/>
      <c r="E206" s="977"/>
      <c r="F206" s="977"/>
      <c r="G206" s="262"/>
      <c r="H206" s="978"/>
      <c r="I206" s="978"/>
      <c r="J206" s="263"/>
      <c r="K206" s="263"/>
      <c r="L206" s="93"/>
      <c r="M206" s="94"/>
      <c r="N206" s="145"/>
      <c r="O206" s="150"/>
      <c r="P206" s="147"/>
      <c r="Q206" s="50"/>
      <c r="R206" s="134"/>
    </row>
    <row r="207" spans="1:18" ht="15" hidden="1" customHeight="1" x14ac:dyDescent="0.2">
      <c r="A207" s="50"/>
      <c r="B207" s="261"/>
      <c r="C207" s="261"/>
      <c r="D207" s="977"/>
      <c r="E207" s="977"/>
      <c r="F207" s="977"/>
      <c r="G207" s="262"/>
      <c r="H207" s="978"/>
      <c r="I207" s="978"/>
      <c r="J207" s="263"/>
      <c r="K207" s="263"/>
      <c r="L207" s="93"/>
      <c r="M207" s="94"/>
      <c r="N207" s="145"/>
      <c r="O207" s="150"/>
      <c r="P207" s="147"/>
      <c r="Q207" s="50"/>
      <c r="R207" s="134"/>
    </row>
    <row r="208" spans="1:18" ht="15" hidden="1" customHeight="1" x14ac:dyDescent="0.2">
      <c r="A208" s="50"/>
      <c r="B208" s="261"/>
      <c r="C208" s="261"/>
      <c r="D208" s="977"/>
      <c r="E208" s="977"/>
      <c r="F208" s="977"/>
      <c r="G208" s="262"/>
      <c r="H208" s="978"/>
      <c r="I208" s="978"/>
      <c r="J208" s="263"/>
      <c r="K208" s="263"/>
      <c r="L208" s="93"/>
      <c r="M208" s="94"/>
      <c r="N208" s="145"/>
      <c r="O208" s="150"/>
      <c r="P208" s="147"/>
      <c r="Q208" s="50"/>
      <c r="R208" s="134"/>
    </row>
    <row r="209" spans="1:18" ht="15" hidden="1" customHeight="1" x14ac:dyDescent="0.2">
      <c r="A209" s="50"/>
      <c r="B209" s="261"/>
      <c r="C209" s="261"/>
      <c r="D209" s="977"/>
      <c r="E209" s="977"/>
      <c r="F209" s="977"/>
      <c r="G209" s="262"/>
      <c r="H209" s="978"/>
      <c r="I209" s="978"/>
      <c r="J209" s="263"/>
      <c r="K209" s="263"/>
      <c r="L209" s="93"/>
      <c r="M209" s="94"/>
      <c r="N209" s="145"/>
      <c r="O209" s="150"/>
      <c r="P209" s="147"/>
      <c r="Q209" s="50"/>
      <c r="R209" s="134"/>
    </row>
    <row r="210" spans="1:18" ht="15" hidden="1" customHeight="1" x14ac:dyDescent="0.2">
      <c r="A210" s="50"/>
      <c r="B210" s="261"/>
      <c r="C210" s="261"/>
      <c r="D210" s="979"/>
      <c r="E210" s="979"/>
      <c r="F210" s="979"/>
      <c r="G210" s="264"/>
      <c r="H210" s="980"/>
      <c r="I210" s="980"/>
      <c r="J210" s="265"/>
      <c r="K210" s="265"/>
      <c r="L210" s="110"/>
      <c r="M210" s="111"/>
      <c r="N210" s="160"/>
      <c r="O210" s="161"/>
      <c r="P210" s="162"/>
      <c r="Q210" s="50"/>
      <c r="R210" s="134"/>
    </row>
    <row r="211" spans="1:18" ht="15" customHeight="1" x14ac:dyDescent="0.2">
      <c r="A211" s="50"/>
      <c r="B211" s="55"/>
      <c r="C211" s="55"/>
      <c r="D211" s="164" t="s">
        <v>57</v>
      </c>
      <c r="E211" s="125"/>
      <c r="F211" s="125"/>
      <c r="G211" s="187">
        <f>SUM(G191:G210)</f>
        <v>10000</v>
      </c>
      <c r="H211" s="960">
        <f>SUM(H191:H210)</f>
        <v>0</v>
      </c>
      <c r="I211" s="960"/>
      <c r="J211" s="253"/>
      <c r="K211" s="253"/>
      <c r="L211" s="254"/>
      <c r="M211" s="255">
        <f>SUM(M191:M210)</f>
        <v>2150</v>
      </c>
      <c r="N211" s="256">
        <f>SUM(N191:N210)</f>
        <v>800</v>
      </c>
      <c r="O211" s="259">
        <f>SUM(O191:O210)</f>
        <v>0</v>
      </c>
      <c r="P211" s="257">
        <f>SUM(P191:P210)</f>
        <v>0</v>
      </c>
      <c r="Q211" s="55"/>
      <c r="R211" s="67"/>
    </row>
    <row r="212" spans="1:18" ht="15" customHeight="1" x14ac:dyDescent="0.2">
      <c r="A212" s="50"/>
      <c r="B212" s="55"/>
      <c r="C212" s="55"/>
      <c r="D212" s="164"/>
      <c r="E212" s="125"/>
      <c r="F212" s="125"/>
      <c r="G212" s="172"/>
      <c r="H212" s="173"/>
      <c r="I212" s="125"/>
      <c r="J212" s="172"/>
      <c r="K212" s="172"/>
      <c r="L212" s="172"/>
      <c r="M212" s="174"/>
      <c r="N212" s="174"/>
      <c r="O212" s="174"/>
      <c r="P212" s="175"/>
      <c r="Q212" s="55"/>
      <c r="R212" s="67"/>
    </row>
    <row r="213" spans="1:18" ht="15" customHeight="1" x14ac:dyDescent="0.2">
      <c r="A213" s="50"/>
      <c r="B213" s="55"/>
      <c r="C213" s="261"/>
      <c r="D213" s="931" t="s">
        <v>88</v>
      </c>
      <c r="E213" s="931"/>
      <c r="F213" s="931"/>
      <c r="G213" s="931"/>
      <c r="H213" s="931"/>
      <c r="I213" s="931"/>
      <c r="J213" s="931"/>
      <c r="K213" s="931"/>
      <c r="L213" s="931"/>
      <c r="M213" s="931"/>
      <c r="N213" s="931"/>
      <c r="O213" s="931"/>
      <c r="P213" s="931"/>
      <c r="Q213" s="50"/>
      <c r="R213" s="67"/>
    </row>
    <row r="214" spans="1:18" ht="15" customHeight="1" x14ac:dyDescent="0.2">
      <c r="A214" s="50"/>
      <c r="B214" s="55"/>
      <c r="C214" s="261"/>
      <c r="D214" s="79"/>
      <c r="E214" s="80"/>
      <c r="F214" s="80"/>
      <c r="G214" s="932" t="s">
        <v>28</v>
      </c>
      <c r="H214" s="932"/>
      <c r="I214" s="932"/>
      <c r="J214" s="933" t="s">
        <v>29</v>
      </c>
      <c r="K214" s="933"/>
      <c r="L214" s="81"/>
      <c r="M214" s="934" t="s">
        <v>30</v>
      </c>
      <c r="N214" s="934"/>
      <c r="O214" s="934" t="s">
        <v>31</v>
      </c>
      <c r="P214" s="934"/>
      <c r="Q214" s="50"/>
      <c r="R214" s="67"/>
    </row>
    <row r="215" spans="1:18" ht="15" customHeight="1" x14ac:dyDescent="0.2">
      <c r="A215" s="50"/>
      <c r="B215" s="55"/>
      <c r="C215" s="261"/>
      <c r="D215" s="951" t="s">
        <v>33</v>
      </c>
      <c r="E215" s="951"/>
      <c r="F215" s="951"/>
      <c r="G215" s="84" t="s">
        <v>34</v>
      </c>
      <c r="H215" s="936" t="s">
        <v>35</v>
      </c>
      <c r="I215" s="936"/>
      <c r="J215" s="85" t="s">
        <v>36</v>
      </c>
      <c r="K215" s="86" t="s">
        <v>37</v>
      </c>
      <c r="L215" s="87" t="s">
        <v>38</v>
      </c>
      <c r="M215" s="88" t="s">
        <v>39</v>
      </c>
      <c r="N215" s="89" t="s">
        <v>40</v>
      </c>
      <c r="O215" s="88" t="s">
        <v>39</v>
      </c>
      <c r="P215" s="89" t="s">
        <v>40</v>
      </c>
      <c r="Q215" s="50"/>
      <c r="R215" s="67"/>
    </row>
    <row r="216" spans="1:18" ht="15" customHeight="1" x14ac:dyDescent="0.2">
      <c r="A216" s="50"/>
      <c r="B216" s="55"/>
      <c r="C216" s="98">
        <f>IF(D216="","",VLOOKUP(D216,Daten!$CZ$10:$DA$22,2,))</f>
        <v>5</v>
      </c>
      <c r="D216" s="938" t="s">
        <v>89</v>
      </c>
      <c r="E216" s="938"/>
      <c r="F216" s="938"/>
      <c r="G216" s="142">
        <v>50000</v>
      </c>
      <c r="H216" s="941"/>
      <c r="I216" s="941"/>
      <c r="J216" s="92">
        <f>IF(C216="","",VLOOKUP(C216,Daten!$BS$9:$BY$20,5))</f>
        <v>0.48</v>
      </c>
      <c r="K216" s="92">
        <f>IF(C216="","",VLOOKUP(C216,Daten!$BS$9:$BY$20,6))</f>
        <v>0.16</v>
      </c>
      <c r="L216" s="93" t="str">
        <f>IF(C118="","",VLOOKUP(C118,Daten!$BS$9:$BY$20,7))</f>
        <v/>
      </c>
      <c r="M216" s="94">
        <f>IF(C216="","",$G216*J216/100)</f>
        <v>240</v>
      </c>
      <c r="N216" s="145">
        <f>IF(C216="","",$G216*K216/100)</f>
        <v>80</v>
      </c>
      <c r="O216" s="146">
        <f>IF(C216="","",$H216*J216/100)</f>
        <v>0</v>
      </c>
      <c r="P216" s="147">
        <f>IF(C216="","",$H216*K216/100)</f>
        <v>0</v>
      </c>
      <c r="Q216" s="50"/>
      <c r="R216" s="67"/>
    </row>
    <row r="217" spans="1:18" ht="15" customHeight="1" x14ac:dyDescent="0.2">
      <c r="A217" s="50"/>
      <c r="B217" s="55"/>
      <c r="C217" s="98" t="str">
        <f>IF(D217="","",VLOOKUP(D217,Daten!$CZ$10:$DA$22,2,))</f>
        <v/>
      </c>
      <c r="D217" s="981"/>
      <c r="E217" s="981"/>
      <c r="F217" s="981"/>
      <c r="G217" s="148"/>
      <c r="H217" s="941"/>
      <c r="I217" s="941"/>
      <c r="J217" s="92" t="str">
        <f>IF(C217="","",VLOOKUP(C217,Daten!$BS$9:$BY$20,5))</f>
        <v/>
      </c>
      <c r="K217" s="92" t="str">
        <f>IF(C217="","",VLOOKUP(C217,Daten!$BS$9:$BY$20,6))</f>
        <v/>
      </c>
      <c r="L217" s="93" t="str">
        <f>IF(C119="","",VLOOKUP(C119,Daten!$BS$9:$BY$20,7))</f>
        <v/>
      </c>
      <c r="M217" s="94" t="str">
        <f>IF(C217="","",$G217*J217/100)</f>
        <v/>
      </c>
      <c r="N217" s="145" t="str">
        <f>IF(C217="","",$G217*K217/100)</f>
        <v/>
      </c>
      <c r="O217" s="150" t="str">
        <f>IF(C217="","",$H217*J217/100)</f>
        <v/>
      </c>
      <c r="P217" s="147" t="str">
        <f>IF(C217="","",$H217*K217/100)</f>
        <v/>
      </c>
      <c r="Q217" s="50"/>
      <c r="R217" s="67"/>
    </row>
    <row r="218" spans="1:18" ht="15" customHeight="1" x14ac:dyDescent="0.2">
      <c r="A218" s="50"/>
      <c r="B218" s="55"/>
      <c r="C218" s="98" t="str">
        <f>IF(D218="","",VLOOKUP(D218,Daten!$CZ$10:$DA$22,2,))</f>
        <v/>
      </c>
      <c r="D218" s="981"/>
      <c r="E218" s="981"/>
      <c r="F218" s="981"/>
      <c r="G218" s="148"/>
      <c r="H218" s="941"/>
      <c r="I218" s="941"/>
      <c r="J218" s="92" t="str">
        <f>IF(C218="","",VLOOKUP(C218,Daten!$BS$9:$BY$20,5))</f>
        <v/>
      </c>
      <c r="K218" s="92" t="str">
        <f>IF(C218="","",VLOOKUP(C218,Daten!$BS$9:$BY$20,6))</f>
        <v/>
      </c>
      <c r="L218" s="93" t="str">
        <f>IF(C120="","",VLOOKUP(C120,Daten!$BS$9:$BY$20,7))</f>
        <v/>
      </c>
      <c r="M218" s="94" t="str">
        <f>IF(C218="","",$G218*J218/100)</f>
        <v/>
      </c>
      <c r="N218" s="145" t="str">
        <f>IF(C218="","",$G218*K218/100)</f>
        <v/>
      </c>
      <c r="O218" s="150" t="str">
        <f>IF(C218="","",$H218*J218/100)</f>
        <v/>
      </c>
      <c r="P218" s="147" t="str">
        <f>IF(C218="","",$H218*K218/100)</f>
        <v/>
      </c>
      <c r="Q218" s="50"/>
      <c r="R218" s="67"/>
    </row>
    <row r="219" spans="1:18" ht="15" customHeight="1" x14ac:dyDescent="0.2">
      <c r="A219" s="50"/>
      <c r="B219" s="55"/>
      <c r="C219" s="98" t="str">
        <f>IF(D219="","",VLOOKUP(D219,Daten!$CZ$10:$DA$22,2,))</f>
        <v/>
      </c>
      <c r="D219" s="981"/>
      <c r="E219" s="981"/>
      <c r="F219" s="981"/>
      <c r="G219" s="148"/>
      <c r="H219" s="941"/>
      <c r="I219" s="941"/>
      <c r="J219" s="92" t="str">
        <f>IF(C219="","",VLOOKUP(C219,Daten!$BS$9:$BY$20,5))</f>
        <v/>
      </c>
      <c r="K219" s="92" t="str">
        <f>IF(C219="","",VLOOKUP(C219,Daten!$BS$9:$BY$20,6))</f>
        <v/>
      </c>
      <c r="L219" s="93" t="str">
        <f>IF(C121="","",VLOOKUP(C121,Daten!$BS$9:$BY$20,7))</f>
        <v/>
      </c>
      <c r="M219" s="94" t="str">
        <f>IF(C219="","",$G219*J219/100)</f>
        <v/>
      </c>
      <c r="N219" s="145" t="str">
        <f>IF(C219="","",$G219*K219/100)</f>
        <v/>
      </c>
      <c r="O219" s="150" t="str">
        <f>IF(C219="","",$H219*J219/100)</f>
        <v/>
      </c>
      <c r="P219" s="147" t="str">
        <f>IF(C219="","",$H219*K219/100)</f>
        <v/>
      </c>
      <c r="Q219" s="50"/>
      <c r="R219" s="67"/>
    </row>
    <row r="220" spans="1:18" ht="15" customHeight="1" x14ac:dyDescent="0.2">
      <c r="A220" s="50"/>
      <c r="B220" s="55"/>
      <c r="C220" s="98" t="str">
        <f>IF(D220="","",VLOOKUP(D220,Daten!$CZ$10:$DA$22,2,))</f>
        <v/>
      </c>
      <c r="D220" s="982"/>
      <c r="E220" s="982"/>
      <c r="F220" s="982"/>
      <c r="G220" s="157"/>
      <c r="H220" s="945"/>
      <c r="I220" s="945"/>
      <c r="J220" s="109" t="str">
        <f>IF(C220="","",VLOOKUP(C220,Daten!$BS$9:$BY$20,5))</f>
        <v/>
      </c>
      <c r="K220" s="109" t="str">
        <f>IF(C220="","",VLOOKUP(C220,Daten!$BS$9:$BY$20,6))</f>
        <v/>
      </c>
      <c r="L220" s="110" t="str">
        <f>IF(C122="","",VLOOKUP(C122,Daten!$BS$9:$BY$20,7))</f>
        <v/>
      </c>
      <c r="M220" s="111" t="str">
        <f>IF(C220="","",$G220*J220/100)</f>
        <v/>
      </c>
      <c r="N220" s="160" t="str">
        <f>IF(C220="","",$G220*K220/100)</f>
        <v/>
      </c>
      <c r="O220" s="161" t="str">
        <f>IF(C220="","",$H220*J220/100)</f>
        <v/>
      </c>
      <c r="P220" s="162" t="str">
        <f>IF(C220="","",$H220*K220/100)</f>
        <v/>
      </c>
      <c r="Q220" s="50"/>
      <c r="R220" s="67"/>
    </row>
    <row r="221" spans="1:18" ht="15" customHeight="1" x14ac:dyDescent="0.2">
      <c r="A221" s="50"/>
      <c r="B221" s="55"/>
      <c r="C221" s="55"/>
      <c r="D221" s="164" t="s">
        <v>57</v>
      </c>
      <c r="E221" s="125"/>
      <c r="F221" s="125"/>
      <c r="G221" s="7">
        <f>SUM(G216:G220)</f>
        <v>50000</v>
      </c>
      <c r="H221" s="960">
        <f>SUM(H216:H220)</f>
        <v>0</v>
      </c>
      <c r="I221" s="960"/>
      <c r="J221" s="253"/>
      <c r="K221" s="253"/>
      <c r="L221" s="254"/>
      <c r="M221" s="255">
        <f>SUM(M216:M220)</f>
        <v>240</v>
      </c>
      <c r="N221" s="256">
        <f>SUM(N216:N220)</f>
        <v>80</v>
      </c>
      <c r="O221" s="259">
        <f>SUM(O216:O220)</f>
        <v>0</v>
      </c>
      <c r="P221" s="257">
        <f>SUM(P216:P220)</f>
        <v>0</v>
      </c>
      <c r="Q221" s="55"/>
      <c r="R221" s="55"/>
    </row>
    <row r="222" spans="1:18" ht="15" customHeight="1" x14ac:dyDescent="0.2">
      <c r="A222" s="50"/>
      <c r="B222" s="55"/>
      <c r="C222" s="55"/>
      <c r="D222" s="164"/>
      <c r="E222" s="125"/>
      <c r="F222" s="125"/>
      <c r="G222" s="172"/>
      <c r="H222" s="173"/>
      <c r="I222" s="125"/>
      <c r="J222" s="172"/>
      <c r="K222" s="172"/>
      <c r="L222" s="172"/>
      <c r="M222" s="174"/>
      <c r="N222" s="174"/>
      <c r="O222" s="174"/>
      <c r="P222" s="175"/>
      <c r="Q222" s="55"/>
      <c r="R222" s="55"/>
    </row>
    <row r="223" spans="1:18" ht="15" customHeight="1" x14ac:dyDescent="0.2">
      <c r="A223" s="50"/>
      <c r="B223" s="55"/>
      <c r="C223" s="261"/>
      <c r="D223" s="931" t="s">
        <v>90</v>
      </c>
      <c r="E223" s="931"/>
      <c r="F223" s="931"/>
      <c r="G223" s="931"/>
      <c r="H223" s="931"/>
      <c r="I223" s="931"/>
      <c r="J223" s="931"/>
      <c r="K223" s="931"/>
      <c r="L223" s="931"/>
      <c r="M223" s="931"/>
      <c r="N223" s="931"/>
      <c r="O223" s="931"/>
      <c r="P223" s="931"/>
      <c r="Q223" s="50"/>
      <c r="R223" s="55"/>
    </row>
    <row r="224" spans="1:18" ht="15" customHeight="1" x14ac:dyDescent="0.2">
      <c r="A224" s="50"/>
      <c r="B224" s="55"/>
      <c r="C224" s="261"/>
      <c r="D224" s="79"/>
      <c r="E224" s="266"/>
      <c r="F224" s="14" t="s">
        <v>91</v>
      </c>
      <c r="G224" s="14" t="s">
        <v>92</v>
      </c>
      <c r="H224" s="971" t="s">
        <v>28</v>
      </c>
      <c r="I224" s="971"/>
      <c r="J224" s="933" t="s">
        <v>29</v>
      </c>
      <c r="K224" s="933"/>
      <c r="L224" s="81"/>
      <c r="M224" s="934" t="s">
        <v>30</v>
      </c>
      <c r="N224" s="934"/>
      <c r="O224" s="934"/>
      <c r="P224" s="934"/>
      <c r="Q224" s="50"/>
      <c r="R224" s="55"/>
    </row>
    <row r="225" spans="1:18" ht="15" customHeight="1" x14ac:dyDescent="0.2">
      <c r="A225" s="50"/>
      <c r="B225" s="55"/>
      <c r="C225" s="261"/>
      <c r="D225" s="951" t="s">
        <v>33</v>
      </c>
      <c r="E225" s="951"/>
      <c r="F225" s="84" t="s">
        <v>75</v>
      </c>
      <c r="G225" s="84" t="s">
        <v>93</v>
      </c>
      <c r="H225" s="936" t="s">
        <v>34</v>
      </c>
      <c r="I225" s="936"/>
      <c r="J225" s="267" t="s">
        <v>36</v>
      </c>
      <c r="K225" s="268"/>
      <c r="L225" s="87" t="s">
        <v>38</v>
      </c>
      <c r="M225" s="88" t="s">
        <v>39</v>
      </c>
      <c r="N225" s="89"/>
      <c r="O225" s="88"/>
      <c r="P225" s="269"/>
      <c r="Q225" s="50"/>
      <c r="R225" s="55"/>
    </row>
    <row r="226" spans="1:18" ht="13.15" customHeight="1" x14ac:dyDescent="0.2">
      <c r="A226" s="50"/>
      <c r="B226" s="55"/>
      <c r="C226" s="98">
        <f>IF(D226="","",VLOOKUP(D226,Daten!$CT$10:$CU$34,2,))</f>
        <v>2</v>
      </c>
      <c r="D226" s="983" t="s">
        <v>94</v>
      </c>
      <c r="E226" s="983"/>
      <c r="F226" s="907">
        <v>5</v>
      </c>
      <c r="G226" s="142">
        <v>25000</v>
      </c>
      <c r="H226" s="984">
        <f>IF(C226="","",F226*G226)</f>
        <v>125000</v>
      </c>
      <c r="I226" s="984"/>
      <c r="J226" s="92">
        <f>IF(C226="","",VLOOKUP(C226,Daten!$AP$11:$AU$32,4))</f>
        <v>3.6</v>
      </c>
      <c r="K226" s="270"/>
      <c r="L226" s="93" t="str">
        <f>IF(C127="","",VLOOKUP(C127,Daten!$BS$9:$BY$20,7))</f>
        <v/>
      </c>
      <c r="M226" s="94">
        <f>IF(C226="","",$H226*J226/100)</f>
        <v>4500</v>
      </c>
      <c r="N226" s="271"/>
      <c r="O226" s="272"/>
      <c r="P226" s="273"/>
      <c r="Q226" s="50"/>
      <c r="R226" s="55"/>
    </row>
    <row r="227" spans="1:18" ht="13.15" customHeight="1" x14ac:dyDescent="0.2">
      <c r="A227" s="50"/>
      <c r="B227" s="55"/>
      <c r="C227" s="98">
        <f>IF(D227="","",VLOOKUP(D227,Daten!$CT$10:$CU$34,2,))</f>
        <v>3</v>
      </c>
      <c r="D227" s="955" t="s">
        <v>95</v>
      </c>
      <c r="E227" s="955"/>
      <c r="F227" s="908">
        <v>5</v>
      </c>
      <c r="G227" s="148">
        <v>5000</v>
      </c>
      <c r="H227" s="984">
        <f>IF(C227="","",F227*G227)</f>
        <v>25000</v>
      </c>
      <c r="I227" s="984"/>
      <c r="J227" s="92">
        <f>IF(C227="","",VLOOKUP(C227,Daten!$AP$11:$AU$32,4))</f>
        <v>1</v>
      </c>
      <c r="K227" s="270"/>
      <c r="L227" s="93"/>
      <c r="M227" s="94">
        <f>IF(C227="","",$H227*J227/100)</f>
        <v>250</v>
      </c>
      <c r="N227" s="271"/>
      <c r="O227" s="274"/>
      <c r="P227" s="273"/>
      <c r="Q227" s="50"/>
      <c r="R227" s="55"/>
    </row>
    <row r="228" spans="1:18" ht="13.15" customHeight="1" x14ac:dyDescent="0.2">
      <c r="A228" s="50"/>
      <c r="B228" s="55"/>
      <c r="C228" s="98">
        <f>IF(D228="","",VLOOKUP(D228,Daten!$CT$10:$CU$34,2,))</f>
        <v>2</v>
      </c>
      <c r="D228" s="955" t="s">
        <v>94</v>
      </c>
      <c r="E228" s="955"/>
      <c r="F228" s="908">
        <v>10</v>
      </c>
      <c r="G228" s="148">
        <v>150</v>
      </c>
      <c r="H228" s="984">
        <f>IF(C228="","",F228*G228)</f>
        <v>1500</v>
      </c>
      <c r="I228" s="984"/>
      <c r="J228" s="92">
        <f>IF(C228="","",VLOOKUP(C228,Daten!$AP$11:$AU$32,4))</f>
        <v>3.6</v>
      </c>
      <c r="K228" s="270"/>
      <c r="L228" s="93"/>
      <c r="M228" s="94">
        <f>IF(C228="","",$H228*J228/100)</f>
        <v>54</v>
      </c>
      <c r="N228" s="271"/>
      <c r="O228" s="274"/>
      <c r="P228" s="273"/>
      <c r="Q228" s="50"/>
      <c r="R228" s="55"/>
    </row>
    <row r="229" spans="1:18" ht="13.15" customHeight="1" x14ac:dyDescent="0.2">
      <c r="A229" s="50"/>
      <c r="B229" s="55"/>
      <c r="C229" s="98" t="str">
        <f>IF(D229="","",VLOOKUP(D229,Daten!$CT$10:$CU$34,2,))</f>
        <v/>
      </c>
      <c r="D229" s="955"/>
      <c r="E229" s="955"/>
      <c r="F229" s="908"/>
      <c r="G229" s="148"/>
      <c r="H229" s="984" t="str">
        <f>IF(C229="","",F229*G229)</f>
        <v/>
      </c>
      <c r="I229" s="984"/>
      <c r="J229" s="92" t="str">
        <f>IF(C229="","",VLOOKUP(C229,Daten!$AP$11:$AU$32,4))</f>
        <v/>
      </c>
      <c r="K229" s="270" t="str">
        <f>IF(C130="","",VLOOKUP(C130,Daten!$BJ$9:$BQ$20,7))</f>
        <v/>
      </c>
      <c r="L229" s="93" t="str">
        <f>IF(C130="","",VLOOKUP(C130,Daten!$BJ$9:$BQ$20,8))</f>
        <v/>
      </c>
      <c r="M229" s="94" t="str">
        <f>IF(C229="","",$H229*J229/100)</f>
        <v/>
      </c>
      <c r="N229" s="271"/>
      <c r="O229" s="274"/>
      <c r="P229" s="273"/>
      <c r="Q229" s="50"/>
      <c r="R229" s="55"/>
    </row>
    <row r="230" spans="1:18" ht="13.15" customHeight="1" x14ac:dyDescent="0.2">
      <c r="A230" s="50"/>
      <c r="B230" s="55"/>
      <c r="C230" s="98" t="str">
        <f>IF(D230="","",VLOOKUP(D230,Daten!$CT$10:$CU$34,2,))</f>
        <v/>
      </c>
      <c r="D230" s="958"/>
      <c r="E230" s="958"/>
      <c r="F230" s="909"/>
      <c r="G230" s="157"/>
      <c r="H230" s="985" t="str">
        <f>IF(C230="","",F230*G230)</f>
        <v/>
      </c>
      <c r="I230" s="985"/>
      <c r="J230" s="109" t="str">
        <f>IF(C230="","",VLOOKUP(C230,Daten!$AP$11:$AU$32,4))</f>
        <v/>
      </c>
      <c r="K230" s="275" t="str">
        <f>IF(C131="","",VLOOKUP(C131,Daten!$BJ$9:$BQ$20,7))</f>
        <v/>
      </c>
      <c r="L230" s="110" t="str">
        <f>IF(C131="","",VLOOKUP(C131,Daten!$BJ$9:$BQ$20,8))</f>
        <v/>
      </c>
      <c r="M230" s="111" t="str">
        <f>IF(C230="","",$H230*J230/100)</f>
        <v/>
      </c>
      <c r="N230" s="276"/>
      <c r="O230" s="277"/>
      <c r="P230" s="278"/>
      <c r="Q230" s="50"/>
      <c r="R230" s="55"/>
    </row>
    <row r="231" spans="1:18" ht="13.15" customHeight="1" x14ac:dyDescent="0.2">
      <c r="A231" s="50"/>
      <c r="B231" s="55"/>
      <c r="C231" s="55"/>
      <c r="D231" s="164" t="s">
        <v>57</v>
      </c>
      <c r="E231" s="125"/>
      <c r="F231" s="125"/>
      <c r="G231" s="172"/>
      <c r="H231" s="960">
        <f>SUM(H226:H230)</f>
        <v>151500</v>
      </c>
      <c r="I231" s="960"/>
      <c r="J231" s="253"/>
      <c r="K231" s="253"/>
      <c r="L231" s="254"/>
      <c r="M231" s="255">
        <f>SUM(M226:M230)</f>
        <v>4804</v>
      </c>
      <c r="N231" s="233"/>
      <c r="O231" s="279"/>
      <c r="P231" s="175"/>
      <c r="Q231" s="55"/>
      <c r="R231" s="55"/>
    </row>
    <row r="232" spans="1:18" ht="13.15" customHeight="1" x14ac:dyDescent="0.2">
      <c r="A232" s="50"/>
      <c r="B232" s="55"/>
      <c r="C232" s="55"/>
      <c r="D232" s="164"/>
      <c r="E232" s="125"/>
      <c r="F232" s="125"/>
      <c r="G232" s="172"/>
      <c r="H232" s="173"/>
      <c r="I232" s="125"/>
      <c r="J232" s="172"/>
      <c r="K232" s="172"/>
      <c r="L232" s="172"/>
      <c r="M232" s="174"/>
      <c r="N232" s="174"/>
      <c r="O232" s="174"/>
      <c r="P232" s="175"/>
      <c r="Q232" s="55"/>
      <c r="R232" s="55"/>
    </row>
    <row r="233" spans="1:18" ht="13.15" hidden="1" customHeight="1" x14ac:dyDescent="0.2">
      <c r="A233" s="50"/>
      <c r="B233" s="55"/>
      <c r="C233" s="55"/>
      <c r="D233" s="164"/>
      <c r="E233" s="125"/>
      <c r="F233" s="125"/>
      <c r="G233" s="172"/>
      <c r="H233" s="173"/>
      <c r="I233" s="125"/>
      <c r="J233" s="172"/>
      <c r="K233" s="172"/>
      <c r="L233" s="172"/>
      <c r="M233" s="174"/>
      <c r="N233" s="174"/>
      <c r="O233" s="174"/>
      <c r="P233" s="175"/>
      <c r="Q233" s="55"/>
      <c r="R233" s="55"/>
    </row>
    <row r="234" spans="1:18" ht="13.15" hidden="1" customHeight="1" x14ac:dyDescent="0.2">
      <c r="A234" s="50"/>
      <c r="B234" s="55"/>
      <c r="C234" s="55"/>
      <c r="D234" s="164"/>
      <c r="E234" s="125"/>
      <c r="F234" s="125"/>
      <c r="G234" s="172"/>
      <c r="H234" s="173"/>
      <c r="I234" s="125"/>
      <c r="J234" s="172"/>
      <c r="K234" s="172"/>
      <c r="L234" s="172"/>
      <c r="M234" s="174"/>
      <c r="N234" s="174"/>
      <c r="O234" s="174"/>
      <c r="P234" s="175"/>
      <c r="Q234" s="55"/>
      <c r="R234" s="55"/>
    </row>
    <row r="235" spans="1:18" ht="18" hidden="1" customHeight="1" x14ac:dyDescent="0.2">
      <c r="A235" s="50"/>
      <c r="B235" s="55"/>
      <c r="C235" s="55"/>
      <c r="D235" s="164"/>
      <c r="E235" s="125"/>
      <c r="F235" s="125"/>
      <c r="G235" s="172"/>
      <c r="H235" s="173"/>
      <c r="I235" s="125"/>
      <c r="J235" s="172"/>
      <c r="K235" s="172"/>
      <c r="L235" s="172"/>
      <c r="M235" s="174"/>
      <c r="N235" s="174"/>
      <c r="O235" s="174"/>
      <c r="P235" s="175"/>
      <c r="Q235" s="55"/>
      <c r="R235" s="67"/>
    </row>
    <row r="236" spans="1:18" hidden="1" x14ac:dyDescent="0.2">
      <c r="A236" s="50"/>
      <c r="B236" s="55"/>
      <c r="C236" s="55"/>
      <c r="D236" s="164"/>
      <c r="E236" s="125"/>
      <c r="F236" s="125"/>
      <c r="G236" s="172"/>
      <c r="H236" s="173"/>
      <c r="I236" s="125"/>
      <c r="J236" s="172"/>
      <c r="K236" s="172"/>
      <c r="L236" s="172"/>
      <c r="M236" s="174"/>
      <c r="N236" s="174"/>
      <c r="O236" s="174"/>
      <c r="P236" s="175"/>
      <c r="Q236" s="55"/>
      <c r="R236" s="67"/>
    </row>
    <row r="237" spans="1:18" hidden="1" x14ac:dyDescent="0.2">
      <c r="A237" s="50"/>
      <c r="B237" s="55"/>
      <c r="C237" s="55"/>
      <c r="D237" s="164"/>
      <c r="E237" s="125"/>
      <c r="F237" s="125"/>
      <c r="G237" s="172"/>
      <c r="H237" s="173"/>
      <c r="I237" s="125"/>
      <c r="J237" s="172"/>
      <c r="K237" s="172"/>
      <c r="L237" s="172"/>
      <c r="M237" s="174"/>
      <c r="N237" s="174"/>
      <c r="O237" s="174"/>
      <c r="P237" s="175"/>
      <c r="Q237" s="55"/>
      <c r="R237" s="67"/>
    </row>
    <row r="238" spans="1:18" hidden="1" x14ac:dyDescent="0.2">
      <c r="A238" s="50"/>
      <c r="B238" s="55"/>
      <c r="C238" s="55"/>
      <c r="D238" s="164"/>
      <c r="E238" s="125"/>
      <c r="F238" s="125"/>
      <c r="G238" s="172"/>
      <c r="H238" s="173"/>
      <c r="I238" s="125"/>
      <c r="J238" s="172"/>
      <c r="K238" s="172"/>
      <c r="L238" s="172"/>
      <c r="M238" s="174"/>
      <c r="N238" s="174"/>
      <c r="O238" s="174"/>
      <c r="P238" s="175"/>
      <c r="Q238" s="55"/>
      <c r="R238" s="67"/>
    </row>
    <row r="239" spans="1:18" ht="10.5" hidden="1" customHeight="1" x14ac:dyDescent="0.2">
      <c r="A239" s="50"/>
      <c r="B239" s="55"/>
      <c r="C239" s="55"/>
      <c r="D239" s="164"/>
      <c r="E239" s="125"/>
      <c r="F239" s="125"/>
      <c r="G239" s="280"/>
      <c r="H239" s="173"/>
      <c r="I239" s="125"/>
      <c r="J239" s="172"/>
      <c r="K239" s="172"/>
      <c r="L239" s="55"/>
      <c r="M239" s="55"/>
      <c r="N239" s="55"/>
      <c r="O239" s="55"/>
      <c r="P239" s="281"/>
      <c r="Q239" s="55"/>
      <c r="R239" s="67"/>
    </row>
    <row r="240" spans="1:18" ht="18" hidden="1" customHeight="1" x14ac:dyDescent="0.25">
      <c r="A240" s="50"/>
      <c r="B240" s="55"/>
      <c r="C240" s="55"/>
      <c r="D240" s="989"/>
      <c r="E240" s="989"/>
      <c r="F240" s="989"/>
      <c r="G240" s="989"/>
      <c r="H240" s="989"/>
      <c r="I240" s="989"/>
      <c r="J240" s="989"/>
      <c r="K240" s="989"/>
      <c r="L240" s="989"/>
      <c r="M240" s="989"/>
      <c r="N240" s="989"/>
      <c r="O240" s="282"/>
      <c r="P240" s="283"/>
      <c r="Q240" s="55"/>
      <c r="R240" s="67"/>
    </row>
    <row r="241" spans="1:18" ht="18" hidden="1" customHeight="1" x14ac:dyDescent="0.2">
      <c r="A241" s="50"/>
      <c r="B241" s="55"/>
      <c r="C241" s="55"/>
      <c r="D241" s="284"/>
      <c r="E241" s="217"/>
      <c r="F241" s="217"/>
      <c r="G241" s="4"/>
      <c r="H241" s="55"/>
      <c r="I241" s="55"/>
      <c r="J241" s="990"/>
      <c r="K241" s="990"/>
      <c r="L241" s="215"/>
      <c r="M241" s="991"/>
      <c r="N241" s="991"/>
      <c r="O241" s="991"/>
      <c r="P241" s="991"/>
      <c r="Q241" s="55"/>
      <c r="R241" s="67"/>
    </row>
    <row r="242" spans="1:18" hidden="1" x14ac:dyDescent="0.2">
      <c r="A242" s="50"/>
      <c r="B242" s="55"/>
      <c r="C242" s="55"/>
      <c r="D242" s="284"/>
      <c r="E242" s="285"/>
      <c r="F242" s="285"/>
      <c r="G242" s="286"/>
      <c r="H242" s="992"/>
      <c r="I242" s="992"/>
      <c r="J242" s="287"/>
      <c r="K242" s="288"/>
      <c r="L242" s="289"/>
      <c r="M242" s="290"/>
      <c r="N242" s="286"/>
      <c r="O242" s="291"/>
      <c r="P242" s="292"/>
      <c r="Q242" s="55"/>
      <c r="R242" s="67"/>
    </row>
    <row r="243" spans="1:18" hidden="1" x14ac:dyDescent="0.2">
      <c r="A243" s="50"/>
      <c r="B243" s="55"/>
      <c r="C243" s="55"/>
      <c r="D243" s="284"/>
      <c r="E243" s="217"/>
      <c r="F243" s="217"/>
      <c r="G243" s="293"/>
      <c r="H243" s="294"/>
      <c r="I243" s="295"/>
      <c r="J243" s="296"/>
      <c r="K243" s="296"/>
      <c r="L243" s="226"/>
      <c r="M243" s="227"/>
      <c r="N243" s="228"/>
      <c r="O243" s="228"/>
      <c r="P243" s="230"/>
      <c r="Q243" s="55"/>
      <c r="R243" s="55"/>
    </row>
    <row r="244" spans="1:18" hidden="1" x14ac:dyDescent="0.2">
      <c r="A244" s="50"/>
      <c r="B244" s="55"/>
      <c r="C244" s="55"/>
      <c r="D244" s="212"/>
      <c r="E244" s="70"/>
      <c r="F244" s="70"/>
      <c r="G244" s="297"/>
      <c r="H244" s="298"/>
      <c r="I244" s="295"/>
      <c r="J244" s="296"/>
      <c r="K244" s="296"/>
      <c r="L244" s="226"/>
      <c r="M244" s="227"/>
      <c r="N244" s="228"/>
      <c r="O244" s="228"/>
      <c r="P244" s="230"/>
      <c r="Q244" s="55"/>
      <c r="R244" s="55"/>
    </row>
    <row r="245" spans="1:18" hidden="1" x14ac:dyDescent="0.2">
      <c r="A245" s="50"/>
      <c r="B245" s="55"/>
      <c r="C245" s="55"/>
      <c r="D245" s="212"/>
      <c r="E245" s="70"/>
      <c r="F245" s="70"/>
      <c r="G245" s="297"/>
      <c r="H245" s="298"/>
      <c r="I245" s="295"/>
      <c r="J245" s="296"/>
      <c r="K245" s="296"/>
      <c r="L245" s="226"/>
      <c r="M245" s="227"/>
      <c r="N245" s="228"/>
      <c r="O245" s="228"/>
      <c r="P245" s="230"/>
      <c r="Q245" s="55"/>
      <c r="R245" s="55"/>
    </row>
    <row r="246" spans="1:18" hidden="1" x14ac:dyDescent="0.2">
      <c r="A246" s="50"/>
      <c r="B246" s="55"/>
      <c r="C246" s="55"/>
      <c r="D246" s="212"/>
      <c r="E246" s="70"/>
      <c r="F246" s="70"/>
      <c r="G246" s="299"/>
      <c r="H246" s="298"/>
      <c r="I246" s="295"/>
      <c r="J246" s="296"/>
      <c r="K246" s="296"/>
      <c r="L246" s="226"/>
      <c r="M246" s="227"/>
      <c r="N246" s="228"/>
      <c r="O246" s="228"/>
      <c r="P246" s="230"/>
      <c r="Q246" s="55"/>
      <c r="R246" s="55"/>
    </row>
    <row r="247" spans="1:18" hidden="1" x14ac:dyDescent="0.2">
      <c r="A247" s="50"/>
      <c r="B247" s="55"/>
      <c r="C247" s="55"/>
      <c r="D247" s="212"/>
      <c r="E247" s="70"/>
      <c r="F247" s="70"/>
      <c r="G247" s="300"/>
      <c r="H247" s="301"/>
      <c r="I247" s="302"/>
      <c r="J247" s="303"/>
      <c r="K247" s="303"/>
      <c r="L247" s="304"/>
      <c r="M247" s="305"/>
      <c r="N247" s="306"/>
      <c r="O247" s="306"/>
      <c r="P247" s="307"/>
      <c r="Q247" s="55"/>
      <c r="R247" s="55"/>
    </row>
    <row r="248" spans="1:18" hidden="1" x14ac:dyDescent="0.2">
      <c r="A248" s="50"/>
      <c r="B248" s="55"/>
      <c r="C248" s="55"/>
      <c r="D248" s="308"/>
      <c r="E248" s="70"/>
      <c r="F248" s="70"/>
      <c r="G248" s="172"/>
      <c r="H248" s="173"/>
      <c r="I248" s="125"/>
      <c r="J248" s="172"/>
      <c r="K248" s="172"/>
      <c r="L248" s="231"/>
      <c r="M248" s="232"/>
      <c r="N248" s="233"/>
      <c r="O248" s="233"/>
      <c r="P248" s="234"/>
      <c r="Q248" s="55"/>
      <c r="R248" s="55"/>
    </row>
    <row r="249" spans="1:18" hidden="1" x14ac:dyDescent="0.2">
      <c r="A249" s="50"/>
      <c r="B249" s="55"/>
      <c r="C249" s="55"/>
      <c r="D249" s="164"/>
      <c r="E249" s="125"/>
      <c r="F249" s="125"/>
      <c r="G249" s="280"/>
      <c r="H249" s="173"/>
      <c r="I249" s="125"/>
      <c r="J249" s="172"/>
      <c r="K249" s="172"/>
      <c r="L249" s="55"/>
      <c r="M249" s="55"/>
      <c r="N249" s="55"/>
      <c r="O249" s="55"/>
      <c r="P249" s="281"/>
      <c r="Q249" s="55"/>
      <c r="R249" s="55"/>
    </row>
    <row r="250" spans="1:18" ht="15.75" hidden="1" x14ac:dyDescent="0.2">
      <c r="A250" s="50"/>
      <c r="B250" s="55"/>
      <c r="C250" s="55"/>
      <c r="D250" s="67"/>
      <c r="E250" s="55"/>
      <c r="F250" s="55"/>
      <c r="G250" s="309"/>
      <c r="H250" s="309"/>
      <c r="I250" s="309"/>
      <c r="J250" s="309"/>
      <c r="K250" s="309"/>
      <c r="L250" s="309"/>
      <c r="M250" s="309"/>
      <c r="N250" s="309"/>
      <c r="O250" s="309"/>
      <c r="P250" s="283"/>
      <c r="Q250" s="55"/>
      <c r="R250" s="55"/>
    </row>
    <row r="251" spans="1:18" ht="15.75" hidden="1" x14ac:dyDescent="0.2">
      <c r="A251" s="50"/>
      <c r="B251" s="55"/>
      <c r="C251" s="55"/>
      <c r="D251" s="310"/>
      <c r="E251" s="311"/>
      <c r="F251" s="311"/>
      <c r="G251" s="4"/>
      <c r="H251" s="993"/>
      <c r="I251" s="5"/>
      <c r="J251" s="994"/>
      <c r="K251" s="994"/>
      <c r="L251" s="994"/>
      <c r="M251" s="995"/>
      <c r="N251" s="995"/>
      <c r="O251" s="214"/>
      <c r="P251" s="281"/>
      <c r="Q251" s="55"/>
      <c r="R251" s="55"/>
    </row>
    <row r="252" spans="1:18" hidden="1" x14ac:dyDescent="0.2">
      <c r="A252" s="50"/>
      <c r="B252" s="55"/>
      <c r="C252" s="55"/>
      <c r="D252" s="67"/>
      <c r="E252" s="55"/>
      <c r="F252" s="55"/>
      <c r="G252" s="286"/>
      <c r="H252" s="993"/>
      <c r="I252" s="286"/>
      <c r="J252" s="287"/>
      <c r="K252" s="288"/>
      <c r="L252" s="289"/>
      <c r="M252" s="312"/>
      <c r="N252" s="313"/>
      <c r="O252" s="285"/>
      <c r="P252" s="314"/>
      <c r="Q252" s="55"/>
      <c r="R252" s="55"/>
    </row>
    <row r="253" spans="1:18" hidden="1" x14ac:dyDescent="0.2">
      <c r="A253" s="50"/>
      <c r="B253" s="55"/>
      <c r="C253" s="55"/>
      <c r="D253" s="284"/>
      <c r="E253" s="217"/>
      <c r="F253" s="217"/>
      <c r="G253" s="315"/>
      <c r="H253" s="316"/>
      <c r="I253" s="317"/>
      <c r="J253" s="318"/>
      <c r="K253" s="296"/>
      <c r="L253" s="226"/>
      <c r="M253" s="229"/>
      <c r="N253" s="319"/>
      <c r="O253" s="320"/>
      <c r="P253" s="321"/>
      <c r="Q253" s="55"/>
      <c r="R253" s="55"/>
    </row>
    <row r="254" spans="1:18" hidden="1" x14ac:dyDescent="0.2">
      <c r="A254" s="50"/>
      <c r="B254" s="55"/>
      <c r="C254" s="55"/>
      <c r="D254" s="212"/>
      <c r="E254" s="70"/>
      <c r="F254" s="70"/>
      <c r="G254" s="322"/>
      <c r="H254" s="323"/>
      <c r="I254" s="324"/>
      <c r="J254" s="318"/>
      <c r="K254" s="296"/>
      <c r="L254" s="226"/>
      <c r="M254" s="229"/>
      <c r="N254" s="319"/>
      <c r="O254" s="320"/>
      <c r="P254" s="321"/>
      <c r="Q254" s="55"/>
      <c r="R254" s="55"/>
    </row>
    <row r="255" spans="1:18" hidden="1" x14ac:dyDescent="0.2">
      <c r="A255" s="50"/>
      <c r="B255" s="55"/>
      <c r="C255" s="55"/>
      <c r="D255" s="212"/>
      <c r="E255" s="70"/>
      <c r="F255" s="70"/>
      <c r="G255" s="322"/>
      <c r="H255" s="323"/>
      <c r="I255" s="324"/>
      <c r="J255" s="318"/>
      <c r="K255" s="296"/>
      <c r="L255" s="226"/>
      <c r="M255" s="229"/>
      <c r="N255" s="319"/>
      <c r="O255" s="320"/>
      <c r="P255" s="321"/>
      <c r="Q255" s="55"/>
      <c r="R255" s="55"/>
    </row>
    <row r="256" spans="1:18" hidden="1" x14ac:dyDescent="0.2">
      <c r="A256" s="50"/>
      <c r="B256" s="55"/>
      <c r="C256" s="55"/>
      <c r="D256" s="212"/>
      <c r="E256" s="70"/>
      <c r="F256" s="70"/>
      <c r="G256" s="322"/>
      <c r="H256" s="323"/>
      <c r="I256" s="324"/>
      <c r="J256" s="318"/>
      <c r="K256" s="296"/>
      <c r="L256" s="226"/>
      <c r="M256" s="229"/>
      <c r="N256" s="319"/>
      <c r="O256" s="320"/>
      <c r="P256" s="321"/>
      <c r="Q256" s="55"/>
      <c r="R256" s="55"/>
    </row>
    <row r="257" spans="1:18" hidden="1" x14ac:dyDescent="0.2">
      <c r="A257" s="50"/>
      <c r="B257" s="55"/>
      <c r="C257" s="55"/>
      <c r="D257" s="212"/>
      <c r="E257" s="70"/>
      <c r="F257" s="70"/>
      <c r="G257" s="322"/>
      <c r="H257" s="323"/>
      <c r="I257" s="324"/>
      <c r="J257" s="318"/>
      <c r="K257" s="296"/>
      <c r="L257" s="226"/>
      <c r="M257" s="229"/>
      <c r="N257" s="319"/>
      <c r="O257" s="320"/>
      <c r="P257" s="321"/>
      <c r="Q257" s="55"/>
      <c r="R257" s="55"/>
    </row>
    <row r="258" spans="1:18" hidden="1" x14ac:dyDescent="0.2">
      <c r="A258" s="50"/>
      <c r="B258" s="55"/>
      <c r="C258" s="55"/>
      <c r="D258" s="212"/>
      <c r="E258" s="70"/>
      <c r="F258" s="70"/>
      <c r="G258" s="322"/>
      <c r="H258" s="323"/>
      <c r="I258" s="324"/>
      <c r="J258" s="318"/>
      <c r="K258" s="296"/>
      <c r="L258" s="226"/>
      <c r="M258" s="229"/>
      <c r="N258" s="319"/>
      <c r="O258" s="320"/>
      <c r="P258" s="321"/>
      <c r="Q258" s="55"/>
      <c r="R258" s="55"/>
    </row>
    <row r="259" spans="1:18" hidden="1" x14ac:dyDescent="0.2">
      <c r="A259" s="50"/>
      <c r="B259" s="55"/>
      <c r="C259" s="55"/>
      <c r="D259" s="212"/>
      <c r="E259" s="70"/>
      <c r="F259" s="70"/>
      <c r="G259" s="322"/>
      <c r="H259" s="323"/>
      <c r="I259" s="324"/>
      <c r="J259" s="318"/>
      <c r="K259" s="296"/>
      <c r="L259" s="226"/>
      <c r="M259" s="229"/>
      <c r="N259" s="319"/>
      <c r="O259" s="320"/>
      <c r="P259" s="321"/>
      <c r="Q259" s="55"/>
      <c r="R259" s="55"/>
    </row>
    <row r="260" spans="1:18" hidden="1" x14ac:dyDescent="0.2">
      <c r="A260" s="50"/>
      <c r="B260" s="55"/>
      <c r="C260" s="55"/>
      <c r="D260" s="212"/>
      <c r="E260" s="70"/>
      <c r="F260" s="70"/>
      <c r="G260" s="322"/>
      <c r="H260" s="323"/>
      <c r="I260" s="324"/>
      <c r="J260" s="318"/>
      <c r="K260" s="296"/>
      <c r="L260" s="226"/>
      <c r="M260" s="229"/>
      <c r="N260" s="319"/>
      <c r="O260" s="320"/>
      <c r="P260" s="321"/>
      <c r="Q260" s="55"/>
      <c r="R260" s="55"/>
    </row>
    <row r="261" spans="1:18" hidden="1" x14ac:dyDescent="0.2">
      <c r="A261" s="50"/>
      <c r="B261" s="55"/>
      <c r="C261" s="55"/>
      <c r="D261" s="212"/>
      <c r="E261" s="70"/>
      <c r="F261" s="70"/>
      <c r="G261" s="325"/>
      <c r="H261" s="326"/>
      <c r="I261" s="327"/>
      <c r="J261" s="328"/>
      <c r="K261" s="303"/>
      <c r="L261" s="304"/>
      <c r="M261" s="329"/>
      <c r="N261" s="330"/>
      <c r="O261" s="331"/>
      <c r="P261" s="332"/>
      <c r="Q261" s="55"/>
      <c r="R261" s="55"/>
    </row>
    <row r="262" spans="1:18" hidden="1" x14ac:dyDescent="0.2">
      <c r="A262" s="50"/>
      <c r="B262" s="55"/>
      <c r="C262" s="55"/>
      <c r="D262" s="308"/>
      <c r="E262" s="333"/>
      <c r="F262" s="333"/>
      <c r="G262" s="237"/>
      <c r="H262" s="334"/>
      <c r="I262" s="335"/>
      <c r="J262" s="336"/>
      <c r="K262" s="237"/>
      <c r="L262" s="237"/>
      <c r="M262" s="337"/>
      <c r="N262" s="338"/>
      <c r="O262" s="338"/>
      <c r="P262" s="339"/>
      <c r="Q262" s="55"/>
      <c r="R262" s="55"/>
    </row>
    <row r="263" spans="1:18" x14ac:dyDescent="0.2">
      <c r="A263" s="50"/>
      <c r="B263" s="55"/>
      <c r="C263" s="55"/>
      <c r="D263" s="212"/>
      <c r="E263" s="70"/>
      <c r="F263" s="70"/>
      <c r="G263" s="172"/>
      <c r="H263" s="173"/>
      <c r="I263" s="340"/>
      <c r="J263" s="55"/>
      <c r="K263" s="172"/>
      <c r="L263" s="172"/>
      <c r="M263" s="174"/>
      <c r="N263" s="174"/>
      <c r="O263" s="174"/>
      <c r="P263" s="175"/>
      <c r="Q263" s="55"/>
      <c r="R263" s="55"/>
    </row>
    <row r="264" spans="1:18" ht="15.75" x14ac:dyDescent="0.2">
      <c r="A264" s="50"/>
      <c r="B264" s="55"/>
      <c r="C264" s="55"/>
      <c r="D264" s="164"/>
      <c r="E264" s="125"/>
      <c r="F264" s="125"/>
      <c r="G264" s="172"/>
      <c r="H264" s="340"/>
      <c r="I264" s="173"/>
      <c r="J264" s="125"/>
      <c r="K264" s="172"/>
      <c r="L264" s="341"/>
      <c r="M264" s="996" t="s">
        <v>96</v>
      </c>
      <c r="N264" s="996"/>
      <c r="O264" s="996" t="s">
        <v>97</v>
      </c>
      <c r="P264" s="996"/>
      <c r="Q264" s="50"/>
      <c r="R264" s="55"/>
    </row>
    <row r="265" spans="1:18" ht="15" x14ac:dyDescent="0.2">
      <c r="A265" s="50"/>
      <c r="B265" s="55"/>
      <c r="C265" s="55"/>
      <c r="D265" s="164"/>
      <c r="E265" s="125"/>
      <c r="F265" s="125"/>
      <c r="G265" s="55"/>
      <c r="H265" s="55"/>
      <c r="I265" s="55"/>
      <c r="J265" s="55"/>
      <c r="K265" s="55"/>
      <c r="L265" s="51"/>
      <c r="M265" s="342" t="s">
        <v>36</v>
      </c>
      <c r="N265" s="343" t="s">
        <v>37</v>
      </c>
      <c r="O265" s="342" t="s">
        <v>36</v>
      </c>
      <c r="P265" s="343" t="s">
        <v>37</v>
      </c>
      <c r="Q265" s="50"/>
      <c r="R265" s="55"/>
    </row>
    <row r="266" spans="1:18" ht="15.75" x14ac:dyDescent="0.2">
      <c r="A266" s="50"/>
      <c r="B266" s="55"/>
      <c r="C266" s="55"/>
      <c r="D266" s="344"/>
      <c r="E266" s="345"/>
      <c r="F266" s="345"/>
      <c r="G266" s="346"/>
      <c r="H266" s="347"/>
      <c r="I266" s="347"/>
      <c r="J266" s="986" t="s">
        <v>98</v>
      </c>
      <c r="K266" s="986"/>
      <c r="L266" s="348"/>
      <c r="M266" s="349">
        <f>M25+M47+M67+M87+M102+M117+M151+M166+M186+M211+M221+M231</f>
        <v>13587.75</v>
      </c>
      <c r="N266" s="350">
        <f>N25+N47+N67+N87+N102+N117+N151+N166+N186+N211+N221+N231</f>
        <v>5393.8249999999998</v>
      </c>
      <c r="O266" s="351">
        <f>O25+O47+O67+O87+O102+O117+O151+O166+O186+O211+O221+O231</f>
        <v>9664.35</v>
      </c>
      <c r="P266" s="350">
        <f>P25+P47+P67+P87+P102+P117+P151+P166+P186+P211+P221+P231</f>
        <v>4696.125</v>
      </c>
      <c r="Q266" s="50"/>
      <c r="R266" s="55"/>
    </row>
    <row r="267" spans="1:18" ht="15.75" x14ac:dyDescent="0.2">
      <c r="A267" s="50"/>
      <c r="B267" s="55"/>
      <c r="C267" s="55"/>
      <c r="D267" s="352"/>
      <c r="E267" s="352"/>
      <c r="F267" s="352"/>
      <c r="G267" s="353"/>
      <c r="H267" s="354"/>
      <c r="I267" s="354"/>
      <c r="J267" s="355"/>
      <c r="K267" s="356"/>
      <c r="L267" s="353"/>
      <c r="M267" s="357"/>
      <c r="N267" s="357"/>
      <c r="O267" s="357"/>
      <c r="P267" s="357"/>
      <c r="Q267" s="55"/>
      <c r="R267" s="55"/>
    </row>
    <row r="268" spans="1:18" ht="15.75" x14ac:dyDescent="0.2">
      <c r="A268" s="50"/>
      <c r="B268" s="55"/>
      <c r="C268" s="55"/>
      <c r="D268" s="358"/>
      <c r="E268" s="358"/>
      <c r="F268" s="358"/>
      <c r="G268" s="55"/>
      <c r="H268" s="63"/>
      <c r="I268" s="63"/>
      <c r="J268" s="359"/>
      <c r="K268" s="360"/>
      <c r="L268" s="55"/>
      <c r="M268" s="361"/>
      <c r="N268" s="361"/>
      <c r="O268" s="362" t="s">
        <v>36</v>
      </c>
      <c r="P268" s="363" t="s">
        <v>37</v>
      </c>
      <c r="Q268" s="50"/>
      <c r="R268" s="55"/>
    </row>
    <row r="269" spans="1:18" ht="21.75" customHeight="1" x14ac:dyDescent="0.2">
      <c r="A269" s="50"/>
      <c r="B269" s="55"/>
      <c r="C269" s="55"/>
      <c r="D269" s="364"/>
      <c r="E269" s="358"/>
      <c r="F269" s="358"/>
      <c r="G269" s="987" t="str">
        <f>Betrieb!D33</f>
        <v>Version 2019    von Heinrich - Bernhard Münzebrock</v>
      </c>
      <c r="H269" s="987"/>
      <c r="I269" s="987"/>
      <c r="J269" s="987"/>
      <c r="K269" s="987"/>
      <c r="L269" s="55"/>
      <c r="M269" s="988" t="s">
        <v>99</v>
      </c>
      <c r="N269" s="988"/>
      <c r="O269" s="365">
        <f>M266-O266</f>
        <v>3923.3999999999996</v>
      </c>
      <c r="P269" s="366">
        <f>N266-P2266</f>
        <v>5393.8249999999998</v>
      </c>
      <c r="Q269" s="50"/>
      <c r="R269" s="55"/>
    </row>
    <row r="270" spans="1:18" x14ac:dyDescent="0.2">
      <c r="A270" s="50"/>
      <c r="B270" s="55"/>
      <c r="C270" s="55"/>
      <c r="D270" s="67"/>
      <c r="E270" s="55"/>
      <c r="F270" s="55"/>
      <c r="G270" s="358"/>
      <c r="H270" s="55"/>
      <c r="I270" s="55"/>
      <c r="J270" s="55"/>
      <c r="K270" s="55"/>
      <c r="L270" s="55"/>
      <c r="M270" s="55"/>
      <c r="N270" s="55"/>
      <c r="O270" s="55"/>
      <c r="P270" s="55"/>
      <c r="Q270" s="55"/>
      <c r="R270" s="55"/>
    </row>
    <row r="271" spans="1:18" x14ac:dyDescent="0.2">
      <c r="A271" s="50"/>
      <c r="B271" s="50"/>
      <c r="C271" s="50"/>
      <c r="D271" s="50"/>
      <c r="E271" s="50"/>
      <c r="F271" s="50"/>
      <c r="G271" s="50"/>
      <c r="H271" s="50"/>
      <c r="I271" s="50"/>
      <c r="J271" s="50"/>
      <c r="K271" s="50"/>
      <c r="L271" s="50"/>
      <c r="M271" s="50"/>
      <c r="N271" s="50"/>
      <c r="O271" s="50"/>
      <c r="P271" s="50"/>
      <c r="Q271" s="50"/>
      <c r="R271" s="50"/>
    </row>
    <row r="272" spans="1:18" x14ac:dyDescent="0.2">
      <c r="A272" s="50"/>
      <c r="B272" s="50"/>
      <c r="C272" s="50"/>
      <c r="D272" s="50"/>
      <c r="E272" s="50"/>
      <c r="F272" s="50"/>
      <c r="G272" s="50"/>
      <c r="H272" s="50"/>
      <c r="I272" s="50"/>
      <c r="J272" s="50"/>
      <c r="K272" s="50"/>
      <c r="L272" s="50"/>
      <c r="M272" s="50"/>
      <c r="N272" s="50"/>
      <c r="O272" s="50"/>
      <c r="P272" s="50"/>
      <c r="Q272" s="50"/>
      <c r="R272" s="50"/>
    </row>
    <row r="273" spans="1:18" x14ac:dyDescent="0.2">
      <c r="A273" s="50"/>
      <c r="B273" s="50"/>
      <c r="C273" s="50"/>
      <c r="D273" s="50"/>
      <c r="E273" s="50"/>
      <c r="F273" s="50"/>
      <c r="G273" s="50"/>
      <c r="H273" s="50"/>
      <c r="I273" s="50"/>
      <c r="J273" s="50"/>
      <c r="K273" s="50"/>
      <c r="L273" s="50"/>
      <c r="M273" s="50"/>
      <c r="N273" s="50"/>
      <c r="O273" s="50"/>
      <c r="P273" s="50"/>
      <c r="Q273" s="50"/>
      <c r="R273" s="50"/>
    </row>
    <row r="274" spans="1:18" x14ac:dyDescent="0.2">
      <c r="A274" s="50"/>
      <c r="B274" s="50"/>
      <c r="C274" s="50"/>
      <c r="D274" s="50"/>
      <c r="E274" s="50"/>
      <c r="F274" s="50"/>
      <c r="G274" s="50"/>
      <c r="H274" s="50"/>
      <c r="I274" s="50"/>
      <c r="J274" s="50"/>
      <c r="K274" s="50"/>
      <c r="L274" s="50"/>
      <c r="M274" s="50"/>
      <c r="N274" s="50"/>
      <c r="O274" s="50"/>
      <c r="P274" s="50"/>
      <c r="Q274" s="50"/>
      <c r="R274" s="50"/>
    </row>
    <row r="275" spans="1:18" x14ac:dyDescent="0.2">
      <c r="A275" s="50"/>
      <c r="B275" s="50"/>
      <c r="C275" s="50"/>
      <c r="D275" s="50"/>
      <c r="E275" s="50"/>
      <c r="F275" s="50"/>
      <c r="G275" s="50"/>
      <c r="H275" s="50"/>
      <c r="I275" s="50"/>
      <c r="J275" s="50"/>
      <c r="K275" s="50"/>
      <c r="L275" s="50"/>
      <c r="M275" s="50"/>
      <c r="N275" s="50"/>
      <c r="O275" s="50"/>
      <c r="P275" s="50"/>
      <c r="Q275" s="50"/>
      <c r="R275" s="50"/>
    </row>
    <row r="276" spans="1:18" x14ac:dyDescent="0.2">
      <c r="A276" s="50"/>
      <c r="B276" s="50"/>
      <c r="C276" s="50"/>
      <c r="D276" s="50"/>
      <c r="E276" s="50"/>
      <c r="F276" s="50"/>
      <c r="G276" s="50"/>
      <c r="H276" s="50"/>
      <c r="I276" s="50"/>
      <c r="J276" s="50"/>
      <c r="K276" s="50"/>
      <c r="L276" s="50"/>
      <c r="M276" s="50"/>
      <c r="N276" s="50"/>
      <c r="O276" s="50"/>
      <c r="P276" s="50"/>
      <c r="Q276" s="50"/>
      <c r="R276" s="50"/>
    </row>
    <row r="277" spans="1:18" x14ac:dyDescent="0.2">
      <c r="A277" s="50"/>
      <c r="B277" s="50"/>
      <c r="C277" s="50"/>
      <c r="D277" s="50"/>
      <c r="E277" s="50"/>
      <c r="F277" s="50"/>
      <c r="G277" s="50"/>
      <c r="H277" s="50"/>
      <c r="I277" s="50"/>
      <c r="J277" s="50"/>
      <c r="K277" s="50"/>
      <c r="L277" s="50"/>
      <c r="M277" s="50"/>
      <c r="N277" s="50"/>
      <c r="O277" s="50"/>
      <c r="P277" s="50"/>
      <c r="Q277" s="50"/>
      <c r="R277" s="50"/>
    </row>
    <row r="278" spans="1:18" x14ac:dyDescent="0.2">
      <c r="A278" s="50"/>
      <c r="B278" s="50"/>
      <c r="C278" s="50"/>
      <c r="D278" s="50"/>
      <c r="E278" s="50"/>
      <c r="F278" s="50"/>
      <c r="G278" s="50"/>
      <c r="H278" s="50"/>
      <c r="I278" s="50"/>
      <c r="J278" s="50"/>
      <c r="K278" s="50"/>
      <c r="L278" s="50"/>
      <c r="M278" s="50"/>
      <c r="N278" s="50"/>
      <c r="O278" s="50"/>
      <c r="P278" s="50"/>
      <c r="Q278" s="50"/>
      <c r="R278" s="50"/>
    </row>
    <row r="279" spans="1:18" x14ac:dyDescent="0.2">
      <c r="A279" s="50"/>
      <c r="B279" s="50"/>
      <c r="C279" s="50"/>
      <c r="D279" s="50"/>
      <c r="E279" s="50"/>
      <c r="F279" s="50"/>
      <c r="G279" s="50"/>
      <c r="H279" s="50"/>
      <c r="I279" s="50"/>
      <c r="J279" s="50"/>
      <c r="K279" s="50"/>
      <c r="L279" s="50"/>
      <c r="M279" s="50"/>
      <c r="N279" s="50"/>
      <c r="O279" s="50"/>
      <c r="P279" s="50"/>
      <c r="Q279" s="50"/>
      <c r="R279" s="50"/>
    </row>
    <row r="280" spans="1:18" x14ac:dyDescent="0.2">
      <c r="A280" s="50"/>
      <c r="B280" s="50"/>
      <c r="C280" s="50"/>
      <c r="D280" s="50"/>
      <c r="E280" s="50"/>
      <c r="F280" s="50"/>
      <c r="G280" s="50"/>
      <c r="H280" s="50"/>
      <c r="I280" s="50"/>
      <c r="J280" s="50"/>
      <c r="K280" s="50"/>
      <c r="L280" s="50"/>
      <c r="M280" s="50"/>
      <c r="N280" s="50"/>
      <c r="O280" s="50"/>
      <c r="P280" s="50"/>
      <c r="Q280" s="50"/>
      <c r="R280" s="50"/>
    </row>
    <row r="281" spans="1:18" x14ac:dyDescent="0.2">
      <c r="A281" s="50"/>
      <c r="B281" s="50"/>
      <c r="C281" s="50"/>
      <c r="D281" s="50"/>
      <c r="E281" s="50"/>
      <c r="F281" s="50"/>
      <c r="G281" s="50"/>
      <c r="H281" s="50"/>
      <c r="I281" s="50"/>
      <c r="J281" s="50"/>
      <c r="K281" s="50"/>
      <c r="L281" s="50"/>
      <c r="M281" s="50"/>
      <c r="N281" s="50"/>
      <c r="O281" s="50"/>
      <c r="P281" s="50"/>
      <c r="Q281" s="50"/>
      <c r="R281" s="50"/>
    </row>
    <row r="282" spans="1:18" x14ac:dyDescent="0.2">
      <c r="A282" s="50"/>
      <c r="B282" s="50"/>
      <c r="C282" s="50"/>
      <c r="D282" s="50"/>
      <c r="E282" s="50"/>
      <c r="F282" s="50"/>
      <c r="G282" s="50"/>
      <c r="H282" s="50"/>
      <c r="I282" s="50"/>
      <c r="J282" s="50"/>
      <c r="K282" s="50"/>
      <c r="L282" s="50"/>
      <c r="M282" s="50"/>
      <c r="N282" s="50"/>
      <c r="O282" s="50"/>
      <c r="P282" s="50"/>
      <c r="Q282" s="50"/>
      <c r="R282" s="50"/>
    </row>
    <row r="283" spans="1:18" x14ac:dyDescent="0.2">
      <c r="A283" s="50"/>
      <c r="B283" s="50"/>
      <c r="C283" s="50"/>
      <c r="D283" s="50"/>
      <c r="E283" s="50"/>
      <c r="F283" s="50"/>
      <c r="G283" s="50"/>
      <c r="H283" s="50"/>
      <c r="I283" s="50"/>
      <c r="J283" s="50"/>
      <c r="K283" s="50"/>
      <c r="L283" s="50"/>
      <c r="M283" s="50"/>
      <c r="N283" s="50"/>
      <c r="O283" s="50"/>
      <c r="P283" s="50"/>
      <c r="Q283" s="50"/>
      <c r="R283" s="50"/>
    </row>
    <row r="284" spans="1:18" x14ac:dyDescent="0.2">
      <c r="A284" s="50"/>
      <c r="B284" s="50"/>
      <c r="C284" s="50"/>
      <c r="D284" s="50"/>
      <c r="E284" s="50"/>
      <c r="F284" s="50"/>
      <c r="G284" s="50"/>
      <c r="H284" s="50"/>
      <c r="I284" s="50"/>
      <c r="J284" s="50"/>
      <c r="K284" s="50"/>
      <c r="L284" s="50"/>
      <c r="M284" s="50"/>
      <c r="N284" s="50"/>
      <c r="O284" s="50"/>
      <c r="P284" s="50"/>
      <c r="Q284" s="50"/>
      <c r="R284" s="50"/>
    </row>
    <row r="285" spans="1:18" x14ac:dyDescent="0.2">
      <c r="A285" s="50"/>
      <c r="B285" s="50"/>
      <c r="C285" s="50"/>
      <c r="D285" s="50"/>
      <c r="E285" s="50"/>
      <c r="F285" s="50"/>
      <c r="G285" s="50"/>
      <c r="H285" s="50"/>
      <c r="I285" s="50"/>
      <c r="J285" s="50"/>
      <c r="K285" s="50"/>
      <c r="L285" s="50"/>
      <c r="M285" s="50"/>
      <c r="N285" s="50"/>
      <c r="O285" s="50"/>
      <c r="P285" s="50"/>
      <c r="Q285" s="50"/>
      <c r="R285" s="50"/>
    </row>
    <row r="286" spans="1:18" x14ac:dyDescent="0.2">
      <c r="A286" s="50"/>
      <c r="B286" s="50"/>
      <c r="C286" s="50"/>
      <c r="D286" s="50"/>
      <c r="E286" s="50"/>
      <c r="F286" s="50"/>
      <c r="G286" s="50"/>
      <c r="H286" s="50"/>
      <c r="I286" s="50"/>
      <c r="J286" s="50"/>
      <c r="K286" s="50"/>
      <c r="L286" s="50"/>
      <c r="M286" s="50"/>
      <c r="N286" s="50"/>
      <c r="O286" s="50"/>
      <c r="P286" s="50"/>
      <c r="Q286" s="50"/>
      <c r="R286" s="50"/>
    </row>
    <row r="287" spans="1:18" x14ac:dyDescent="0.2">
      <c r="A287" s="50"/>
      <c r="B287" s="50"/>
      <c r="C287" s="50"/>
      <c r="D287" s="50"/>
      <c r="E287" s="50"/>
      <c r="F287" s="50"/>
      <c r="G287" s="50"/>
      <c r="H287" s="50"/>
      <c r="I287" s="50"/>
      <c r="J287" s="50"/>
      <c r="K287" s="50"/>
      <c r="L287" s="50"/>
      <c r="M287" s="50"/>
      <c r="N287" s="50"/>
      <c r="O287" s="50"/>
      <c r="P287" s="50"/>
      <c r="Q287" s="50"/>
      <c r="R287" s="50"/>
    </row>
    <row r="288" spans="1:18" x14ac:dyDescent="0.2">
      <c r="A288" s="50"/>
      <c r="B288" s="50"/>
      <c r="C288" s="50"/>
      <c r="D288" s="50"/>
      <c r="E288" s="50"/>
      <c r="F288" s="50"/>
      <c r="G288" s="50"/>
      <c r="H288" s="50"/>
      <c r="I288" s="50"/>
      <c r="J288" s="50"/>
      <c r="K288" s="50"/>
      <c r="L288" s="50"/>
      <c r="M288" s="50"/>
      <c r="N288" s="50"/>
      <c r="O288" s="50"/>
      <c r="P288" s="50"/>
      <c r="Q288" s="50"/>
      <c r="R288" s="50"/>
    </row>
    <row r="289" spans="1:18" x14ac:dyDescent="0.2">
      <c r="A289" s="50"/>
      <c r="B289" s="50"/>
      <c r="C289" s="50"/>
      <c r="D289" s="50"/>
      <c r="E289" s="50"/>
      <c r="F289" s="50"/>
      <c r="G289" s="50"/>
      <c r="H289" s="50"/>
      <c r="I289" s="50"/>
      <c r="J289" s="50"/>
      <c r="K289" s="50"/>
      <c r="L289" s="50"/>
      <c r="M289" s="50"/>
      <c r="N289" s="50"/>
      <c r="O289" s="50"/>
      <c r="P289" s="50"/>
      <c r="Q289" s="50"/>
      <c r="R289" s="50"/>
    </row>
    <row r="290" spans="1:18" x14ac:dyDescent="0.2">
      <c r="A290" s="50"/>
      <c r="B290" s="50"/>
      <c r="C290" s="50"/>
      <c r="D290" s="50"/>
      <c r="E290" s="50"/>
      <c r="F290" s="50"/>
      <c r="G290" s="50"/>
      <c r="H290" s="50"/>
      <c r="I290" s="50"/>
      <c r="J290" s="50"/>
      <c r="K290" s="50"/>
      <c r="L290" s="50"/>
      <c r="M290" s="50"/>
      <c r="N290" s="50"/>
      <c r="O290" s="50"/>
      <c r="P290" s="50"/>
      <c r="Q290" s="50"/>
      <c r="R290" s="50"/>
    </row>
    <row r="291" spans="1:18" x14ac:dyDescent="0.2">
      <c r="A291" s="50"/>
      <c r="B291" s="50"/>
      <c r="C291" s="50"/>
      <c r="D291" s="50"/>
      <c r="E291" s="50"/>
      <c r="F291" s="50"/>
      <c r="G291" s="50"/>
      <c r="H291" s="50"/>
      <c r="I291" s="50"/>
      <c r="J291" s="50"/>
      <c r="K291" s="50"/>
      <c r="L291" s="50"/>
      <c r="M291" s="50"/>
      <c r="N291" s="50"/>
      <c r="O291" s="50"/>
      <c r="P291" s="50"/>
      <c r="Q291" s="50"/>
      <c r="R291" s="50"/>
    </row>
    <row r="292" spans="1:18" x14ac:dyDescent="0.2">
      <c r="A292" s="50"/>
      <c r="B292" s="50"/>
      <c r="C292" s="50"/>
      <c r="D292" s="50"/>
      <c r="E292" s="50"/>
      <c r="F292" s="50"/>
      <c r="G292" s="50"/>
      <c r="H292" s="50"/>
      <c r="I292" s="50"/>
      <c r="J292" s="50"/>
      <c r="K292" s="50"/>
      <c r="L292" s="50"/>
      <c r="M292" s="50"/>
      <c r="N292" s="50"/>
      <c r="O292" s="50"/>
      <c r="P292" s="50"/>
      <c r="Q292" s="50"/>
      <c r="R292" s="50"/>
    </row>
    <row r="293" spans="1:18" x14ac:dyDescent="0.2">
      <c r="A293" s="50"/>
      <c r="B293" s="50"/>
      <c r="C293" s="50"/>
      <c r="D293" s="50"/>
      <c r="E293" s="50"/>
      <c r="F293" s="50"/>
      <c r="G293" s="50"/>
      <c r="H293" s="50"/>
      <c r="I293" s="50"/>
      <c r="J293" s="50"/>
      <c r="K293" s="50"/>
      <c r="L293" s="50"/>
      <c r="M293" s="50"/>
      <c r="N293" s="50"/>
      <c r="O293" s="50"/>
      <c r="P293" s="50"/>
      <c r="Q293" s="50"/>
      <c r="R293" s="50"/>
    </row>
    <row r="294" spans="1:18" x14ac:dyDescent="0.2">
      <c r="A294" s="50"/>
      <c r="B294" s="50"/>
      <c r="C294" s="50"/>
      <c r="D294" s="50"/>
      <c r="E294" s="50"/>
      <c r="F294" s="50"/>
      <c r="G294" s="50"/>
      <c r="H294" s="50"/>
      <c r="I294" s="50"/>
      <c r="J294" s="50"/>
      <c r="K294" s="50"/>
      <c r="L294" s="50"/>
      <c r="M294" s="50"/>
      <c r="N294" s="50"/>
      <c r="O294" s="50"/>
      <c r="P294" s="50"/>
      <c r="Q294" s="50"/>
      <c r="R294" s="50"/>
    </row>
    <row r="295" spans="1:18" x14ac:dyDescent="0.2">
      <c r="A295" s="50"/>
      <c r="B295" s="50"/>
      <c r="C295" s="50"/>
      <c r="D295" s="50"/>
      <c r="E295" s="50"/>
      <c r="F295" s="50"/>
      <c r="G295" s="50"/>
      <c r="H295" s="50"/>
      <c r="I295" s="50"/>
      <c r="J295" s="50"/>
      <c r="K295" s="50"/>
      <c r="L295" s="50"/>
      <c r="M295" s="50"/>
      <c r="N295" s="50"/>
      <c r="O295" s="50"/>
      <c r="P295" s="50"/>
      <c r="Q295" s="50"/>
      <c r="R295" s="50"/>
    </row>
    <row r="296" spans="1:18" x14ac:dyDescent="0.2">
      <c r="A296" s="50"/>
      <c r="B296" s="50"/>
      <c r="C296" s="50"/>
      <c r="D296" s="50"/>
      <c r="E296" s="50"/>
      <c r="F296" s="50"/>
      <c r="G296" s="50"/>
      <c r="H296" s="50"/>
      <c r="I296" s="50"/>
      <c r="J296" s="50"/>
      <c r="K296" s="50"/>
      <c r="L296" s="50"/>
      <c r="M296" s="50"/>
      <c r="N296" s="50"/>
      <c r="O296" s="50"/>
      <c r="P296" s="50"/>
      <c r="Q296" s="50"/>
      <c r="R296" s="50"/>
    </row>
    <row r="297" spans="1:18" x14ac:dyDescent="0.2">
      <c r="A297" s="50"/>
      <c r="B297" s="50"/>
      <c r="C297" s="50"/>
      <c r="D297" s="50"/>
      <c r="E297" s="50"/>
      <c r="F297" s="50"/>
      <c r="G297" s="50"/>
      <c r="H297" s="50"/>
      <c r="I297" s="50"/>
      <c r="J297" s="50"/>
      <c r="K297" s="50"/>
      <c r="L297" s="50"/>
      <c r="M297" s="50"/>
      <c r="N297" s="50"/>
      <c r="O297" s="50"/>
      <c r="P297" s="50"/>
      <c r="Q297" s="50"/>
      <c r="R297" s="50"/>
    </row>
    <row r="298" spans="1:18" x14ac:dyDescent="0.2">
      <c r="A298" s="50"/>
      <c r="B298" s="50"/>
      <c r="C298" s="50"/>
      <c r="D298" s="50"/>
      <c r="E298" s="50"/>
      <c r="F298" s="50"/>
      <c r="G298" s="50"/>
      <c r="H298" s="50"/>
      <c r="I298" s="50"/>
      <c r="J298" s="50"/>
      <c r="K298" s="50"/>
      <c r="L298" s="50"/>
      <c r="M298" s="50"/>
      <c r="N298" s="50"/>
      <c r="O298" s="50"/>
      <c r="P298" s="50"/>
      <c r="Q298" s="50"/>
      <c r="R298" s="50"/>
    </row>
    <row r="299" spans="1:18" x14ac:dyDescent="0.2">
      <c r="A299" s="50"/>
      <c r="B299" s="50"/>
      <c r="C299" s="50"/>
      <c r="D299" s="50"/>
      <c r="E299" s="50"/>
      <c r="F299" s="50"/>
      <c r="G299" s="50"/>
      <c r="H299" s="50"/>
      <c r="I299" s="50"/>
      <c r="J299" s="50"/>
      <c r="K299" s="50"/>
      <c r="L299" s="50"/>
      <c r="M299" s="50"/>
      <c r="N299" s="50"/>
      <c r="O299" s="50"/>
      <c r="P299" s="50"/>
      <c r="Q299" s="50"/>
      <c r="R299" s="50"/>
    </row>
    <row r="300" spans="1:18" x14ac:dyDescent="0.2">
      <c r="A300" s="50"/>
      <c r="B300" s="50"/>
      <c r="C300" s="50"/>
      <c r="D300" s="50"/>
      <c r="E300" s="50"/>
      <c r="F300" s="50"/>
      <c r="G300" s="50"/>
      <c r="H300" s="50"/>
      <c r="I300" s="50"/>
      <c r="J300" s="50"/>
      <c r="K300" s="50"/>
      <c r="L300" s="50"/>
      <c r="M300" s="50"/>
      <c r="N300" s="50"/>
      <c r="O300" s="50"/>
      <c r="P300" s="50"/>
      <c r="Q300" s="50"/>
      <c r="R300" s="50"/>
    </row>
    <row r="301" spans="1:18" x14ac:dyDescent="0.2">
      <c r="A301" s="50"/>
      <c r="B301" s="50"/>
      <c r="C301" s="50"/>
      <c r="D301" s="50"/>
      <c r="E301" s="50"/>
      <c r="F301" s="50"/>
      <c r="G301" s="50"/>
      <c r="H301" s="50"/>
      <c r="I301" s="50"/>
      <c r="J301" s="50"/>
      <c r="K301" s="50"/>
      <c r="L301" s="50"/>
      <c r="M301" s="50"/>
      <c r="N301" s="50"/>
      <c r="O301" s="50"/>
      <c r="P301" s="50"/>
      <c r="Q301" s="50"/>
      <c r="R301" s="50"/>
    </row>
    <row r="302" spans="1:18" x14ac:dyDescent="0.2">
      <c r="A302" s="50"/>
      <c r="B302" s="50"/>
      <c r="C302" s="50"/>
      <c r="D302" s="50"/>
      <c r="E302" s="50"/>
      <c r="F302" s="50"/>
      <c r="G302" s="50"/>
      <c r="H302" s="50"/>
      <c r="I302" s="50"/>
      <c r="J302" s="50"/>
      <c r="K302" s="50"/>
      <c r="L302" s="50"/>
      <c r="M302" s="50"/>
      <c r="N302" s="50"/>
      <c r="O302" s="50"/>
      <c r="P302" s="50"/>
      <c r="Q302" s="50"/>
      <c r="R302" s="50"/>
    </row>
    <row r="303" spans="1:18" x14ac:dyDescent="0.2">
      <c r="A303" s="50"/>
      <c r="B303" s="50"/>
      <c r="C303" s="50"/>
      <c r="D303" s="50"/>
      <c r="E303" s="50"/>
      <c r="F303" s="50"/>
      <c r="G303" s="50"/>
      <c r="H303" s="50"/>
      <c r="I303" s="50"/>
      <c r="J303" s="50"/>
      <c r="K303" s="50"/>
      <c r="L303" s="50"/>
      <c r="M303" s="50"/>
      <c r="N303" s="50"/>
      <c r="O303" s="50"/>
      <c r="P303" s="50"/>
      <c r="Q303" s="50"/>
      <c r="R303" s="50"/>
    </row>
    <row r="304" spans="1:18" x14ac:dyDescent="0.2">
      <c r="A304" s="50"/>
      <c r="B304" s="50"/>
      <c r="C304" s="50"/>
      <c r="D304" s="50"/>
      <c r="E304" s="50"/>
      <c r="F304" s="50"/>
      <c r="G304" s="50"/>
      <c r="H304" s="50"/>
      <c r="I304" s="50"/>
      <c r="J304" s="50"/>
      <c r="K304" s="50"/>
      <c r="L304" s="50"/>
      <c r="M304" s="50"/>
      <c r="N304" s="50"/>
      <c r="O304" s="50"/>
      <c r="P304" s="50"/>
      <c r="Q304" s="50"/>
      <c r="R304" s="50"/>
    </row>
    <row r="305" spans="1:18" x14ac:dyDescent="0.2">
      <c r="A305" s="50"/>
      <c r="B305" s="50"/>
      <c r="C305" s="50"/>
      <c r="D305" s="50"/>
      <c r="E305" s="50"/>
      <c r="F305" s="50"/>
      <c r="G305" s="50"/>
      <c r="H305" s="50"/>
      <c r="I305" s="50"/>
      <c r="J305" s="50"/>
      <c r="K305" s="50"/>
      <c r="L305" s="50"/>
      <c r="M305" s="50"/>
      <c r="N305" s="50"/>
      <c r="O305" s="50"/>
      <c r="P305" s="50"/>
      <c r="Q305" s="50"/>
      <c r="R305" s="50"/>
    </row>
    <row r="306" spans="1:18" x14ac:dyDescent="0.2">
      <c r="A306" s="50"/>
      <c r="B306" s="50"/>
      <c r="C306" s="50"/>
      <c r="D306" s="50"/>
      <c r="E306" s="50"/>
      <c r="F306" s="50"/>
      <c r="G306" s="50"/>
      <c r="H306" s="50"/>
      <c r="I306" s="50"/>
      <c r="J306" s="50"/>
      <c r="K306" s="50"/>
      <c r="L306" s="50"/>
      <c r="M306" s="50"/>
      <c r="N306" s="50"/>
      <c r="O306" s="50"/>
      <c r="P306" s="50"/>
      <c r="Q306" s="50"/>
      <c r="R306" s="50"/>
    </row>
    <row r="307" spans="1:18" x14ac:dyDescent="0.2">
      <c r="A307" s="50"/>
      <c r="B307" s="50"/>
      <c r="C307" s="50"/>
      <c r="D307" s="50"/>
      <c r="E307" s="50"/>
      <c r="F307" s="50"/>
      <c r="G307" s="50"/>
      <c r="H307" s="50"/>
      <c r="I307" s="50"/>
      <c r="J307" s="50"/>
      <c r="K307" s="50"/>
      <c r="L307" s="50"/>
      <c r="M307" s="50"/>
      <c r="N307" s="50"/>
      <c r="O307" s="50"/>
      <c r="P307" s="50"/>
      <c r="Q307" s="50"/>
      <c r="R307" s="50"/>
    </row>
    <row r="308" spans="1:18" x14ac:dyDescent="0.2">
      <c r="A308" s="50"/>
      <c r="B308" s="50"/>
      <c r="C308" s="50"/>
      <c r="D308" s="50"/>
      <c r="E308" s="50"/>
      <c r="F308" s="50"/>
      <c r="G308" s="50"/>
      <c r="H308" s="50"/>
      <c r="I308" s="50"/>
      <c r="J308" s="50"/>
      <c r="K308" s="50"/>
      <c r="L308" s="50"/>
      <c r="M308" s="50"/>
      <c r="N308" s="50"/>
      <c r="O308" s="50"/>
      <c r="P308" s="50"/>
      <c r="Q308" s="50"/>
      <c r="R308" s="50"/>
    </row>
    <row r="309" spans="1:18" x14ac:dyDescent="0.2">
      <c r="A309" s="50"/>
      <c r="B309" s="50"/>
      <c r="C309" s="50"/>
      <c r="D309" s="50"/>
      <c r="E309" s="50"/>
      <c r="F309" s="50"/>
      <c r="G309" s="50"/>
      <c r="H309" s="50"/>
      <c r="I309" s="50"/>
      <c r="J309" s="50"/>
      <c r="K309" s="50"/>
      <c r="L309" s="50"/>
      <c r="M309" s="50"/>
      <c r="N309" s="50"/>
      <c r="O309" s="50"/>
      <c r="P309" s="50"/>
      <c r="Q309" s="50"/>
      <c r="R309" s="50"/>
    </row>
    <row r="310" spans="1:18" x14ac:dyDescent="0.2">
      <c r="A310" s="50"/>
      <c r="B310" s="50"/>
      <c r="C310" s="50"/>
      <c r="D310" s="50"/>
      <c r="E310" s="50"/>
      <c r="F310" s="50"/>
      <c r="G310" s="50"/>
      <c r="H310" s="50"/>
      <c r="I310" s="50"/>
      <c r="J310" s="50"/>
      <c r="K310" s="50"/>
      <c r="L310" s="50"/>
      <c r="M310" s="50"/>
      <c r="N310" s="50"/>
      <c r="O310" s="50"/>
      <c r="P310" s="50"/>
      <c r="Q310" s="50"/>
      <c r="R310" s="50"/>
    </row>
    <row r="311" spans="1:18" x14ac:dyDescent="0.2">
      <c r="A311" s="50"/>
      <c r="B311" s="50"/>
      <c r="C311" s="50"/>
      <c r="D311" s="50"/>
      <c r="E311" s="50"/>
      <c r="F311" s="50"/>
      <c r="G311" s="50"/>
      <c r="H311" s="50"/>
      <c r="I311" s="50"/>
      <c r="J311" s="50"/>
      <c r="K311" s="50"/>
      <c r="L311" s="50"/>
      <c r="M311" s="50"/>
      <c r="N311" s="50"/>
      <c r="O311" s="50"/>
      <c r="P311" s="50"/>
      <c r="Q311" s="50"/>
      <c r="R311" s="50"/>
    </row>
    <row r="312" spans="1:18" x14ac:dyDescent="0.2">
      <c r="B312" s="50"/>
      <c r="C312" s="50"/>
      <c r="D312" s="50"/>
      <c r="E312" s="50"/>
      <c r="F312" s="50"/>
      <c r="G312" s="50"/>
      <c r="H312" s="51"/>
      <c r="I312" s="50"/>
      <c r="J312" s="50"/>
      <c r="K312" s="50"/>
      <c r="L312" s="50"/>
      <c r="M312" s="50"/>
      <c r="N312" s="50"/>
      <c r="O312" s="51"/>
      <c r="P312" s="50"/>
      <c r="Q312" s="50"/>
      <c r="R312" s="50"/>
    </row>
  </sheetData>
  <sheetProtection algorithmName="SHA-512" hashValue="pPwIHmrbVht3KxCUFkaEW6i6iE5qPLyze+DhSnaYUBHiZtTBSRi25qpbEahruwRLni0eN+6tUZW5Ta+s2Gz/5g==" saltValue="wXJ+RL0ulhqlXjPU4VuDgA==" spinCount="100000" sheet="1" objects="1" scenarios="1"/>
  <mergeCells count="395">
    <mergeCell ref="J266:K266"/>
    <mergeCell ref="G269:K269"/>
    <mergeCell ref="M269:N269"/>
    <mergeCell ref="H231:I231"/>
    <mergeCell ref="D240:N240"/>
    <mergeCell ref="J241:K241"/>
    <mergeCell ref="M241:P241"/>
    <mergeCell ref="H242:I242"/>
    <mergeCell ref="H251:H252"/>
    <mergeCell ref="J251:L251"/>
    <mergeCell ref="M251:N251"/>
    <mergeCell ref="M264:N264"/>
    <mergeCell ref="O264:P264"/>
    <mergeCell ref="D226:E226"/>
    <mergeCell ref="H226:I226"/>
    <mergeCell ref="D227:E227"/>
    <mergeCell ref="H227:I227"/>
    <mergeCell ref="D228:E228"/>
    <mergeCell ref="H228:I228"/>
    <mergeCell ref="D229:E229"/>
    <mergeCell ref="H229:I229"/>
    <mergeCell ref="D230:E230"/>
    <mergeCell ref="H230:I230"/>
    <mergeCell ref="D220:F220"/>
    <mergeCell ref="H220:I220"/>
    <mergeCell ref="H221:I221"/>
    <mergeCell ref="D223:P223"/>
    <mergeCell ref="H224:I224"/>
    <mergeCell ref="J224:K224"/>
    <mergeCell ref="M224:N224"/>
    <mergeCell ref="O224:P224"/>
    <mergeCell ref="D225:E225"/>
    <mergeCell ref="H225:I225"/>
    <mergeCell ref="D215:F215"/>
    <mergeCell ref="H215:I215"/>
    <mergeCell ref="D216:F216"/>
    <mergeCell ref="H216:I216"/>
    <mergeCell ref="D217:F217"/>
    <mergeCell ref="H217:I217"/>
    <mergeCell ref="D218:F218"/>
    <mergeCell ref="H218:I218"/>
    <mergeCell ref="D219:F219"/>
    <mergeCell ref="H219:I219"/>
    <mergeCell ref="D208:F208"/>
    <mergeCell ref="H208:I208"/>
    <mergeCell ref="D209:F209"/>
    <mergeCell ref="H209:I209"/>
    <mergeCell ref="D210:F210"/>
    <mergeCell ref="H210:I210"/>
    <mergeCell ref="H211:I211"/>
    <mergeCell ref="D213:P213"/>
    <mergeCell ref="G214:I214"/>
    <mergeCell ref="J214:K214"/>
    <mergeCell ref="M214:N214"/>
    <mergeCell ref="O214:P214"/>
    <mergeCell ref="D203:F203"/>
    <mergeCell ref="H203:I203"/>
    <mergeCell ref="D204:F204"/>
    <mergeCell ref="H204:I204"/>
    <mergeCell ref="D205:F205"/>
    <mergeCell ref="H205:I205"/>
    <mergeCell ref="D206:F206"/>
    <mergeCell ref="H206:I206"/>
    <mergeCell ref="D207:F207"/>
    <mergeCell ref="H207:I207"/>
    <mergeCell ref="D196:F196"/>
    <mergeCell ref="H196:I196"/>
    <mergeCell ref="D197:F197"/>
    <mergeCell ref="H197:I197"/>
    <mergeCell ref="D198:F198"/>
    <mergeCell ref="D199:F199"/>
    <mergeCell ref="D200:F200"/>
    <mergeCell ref="D201:F201"/>
    <mergeCell ref="D202:F202"/>
    <mergeCell ref="D191:F191"/>
    <mergeCell ref="H191:I191"/>
    <mergeCell ref="D192:F192"/>
    <mergeCell ref="H192:I192"/>
    <mergeCell ref="D193:F193"/>
    <mergeCell ref="H193:I193"/>
    <mergeCell ref="D194:F194"/>
    <mergeCell ref="H194:I194"/>
    <mergeCell ref="D195:F195"/>
    <mergeCell ref="H195:I195"/>
    <mergeCell ref="E185:F185"/>
    <mergeCell ref="H185:I185"/>
    <mergeCell ref="H186:I186"/>
    <mergeCell ref="D188:P188"/>
    <mergeCell ref="G189:I189"/>
    <mergeCell ref="J189:K189"/>
    <mergeCell ref="M189:N189"/>
    <mergeCell ref="O189:P189"/>
    <mergeCell ref="D190:F190"/>
    <mergeCell ref="H190:I190"/>
    <mergeCell ref="E180:F180"/>
    <mergeCell ref="H180:I180"/>
    <mergeCell ref="E181:F181"/>
    <mergeCell ref="H181:I181"/>
    <mergeCell ref="E182:F182"/>
    <mergeCell ref="H182:I182"/>
    <mergeCell ref="E183:F183"/>
    <mergeCell ref="H183:I183"/>
    <mergeCell ref="E184:F184"/>
    <mergeCell ref="H184:I184"/>
    <mergeCell ref="E175:F175"/>
    <mergeCell ref="H175:I175"/>
    <mergeCell ref="E176:F176"/>
    <mergeCell ref="H176:I176"/>
    <mergeCell ref="E177:F177"/>
    <mergeCell ref="H177:I177"/>
    <mergeCell ref="E178:F178"/>
    <mergeCell ref="H178:I178"/>
    <mergeCell ref="E179:F179"/>
    <mergeCell ref="H179:I179"/>
    <mergeCell ref="E170:F170"/>
    <mergeCell ref="H170:I170"/>
    <mergeCell ref="E171:F171"/>
    <mergeCell ref="H171:I171"/>
    <mergeCell ref="E172:F172"/>
    <mergeCell ref="H172:I172"/>
    <mergeCell ref="E173:F173"/>
    <mergeCell ref="H173:I173"/>
    <mergeCell ref="E174:F174"/>
    <mergeCell ref="H174:I174"/>
    <mergeCell ref="D164:F164"/>
    <mergeCell ref="H164:I164"/>
    <mergeCell ref="D165:F165"/>
    <mergeCell ref="H165:I165"/>
    <mergeCell ref="H166:I166"/>
    <mergeCell ref="D168:P168"/>
    <mergeCell ref="E169:F169"/>
    <mergeCell ref="G169:I169"/>
    <mergeCell ref="J169:K169"/>
    <mergeCell ref="M169:N169"/>
    <mergeCell ref="O169:P169"/>
    <mergeCell ref="D157:F157"/>
    <mergeCell ref="H157:I157"/>
    <mergeCell ref="D158:F158"/>
    <mergeCell ref="D159:F159"/>
    <mergeCell ref="D160:F160"/>
    <mergeCell ref="D161:F161"/>
    <mergeCell ref="D162:F162"/>
    <mergeCell ref="D163:F163"/>
    <mergeCell ref="H163:I163"/>
    <mergeCell ref="D153:P153"/>
    <mergeCell ref="G154:I154"/>
    <mergeCell ref="J154:K154"/>
    <mergeCell ref="M154:N154"/>
    <mergeCell ref="O154:P154"/>
    <mergeCell ref="D155:F155"/>
    <mergeCell ref="H155:I155"/>
    <mergeCell ref="D156:F156"/>
    <mergeCell ref="H156:I156"/>
    <mergeCell ref="D146:F146"/>
    <mergeCell ref="D147:F147"/>
    <mergeCell ref="D148:F148"/>
    <mergeCell ref="H148:I148"/>
    <mergeCell ref="D149:F149"/>
    <mergeCell ref="H149:I149"/>
    <mergeCell ref="D150:F150"/>
    <mergeCell ref="H150:I150"/>
    <mergeCell ref="H151:I151"/>
    <mergeCell ref="D140:F140"/>
    <mergeCell ref="H140:I140"/>
    <mergeCell ref="D141:F141"/>
    <mergeCell ref="H141:I141"/>
    <mergeCell ref="D142:F142"/>
    <mergeCell ref="H142:I142"/>
    <mergeCell ref="D143:F143"/>
    <mergeCell ref="D144:F144"/>
    <mergeCell ref="D145:F145"/>
    <mergeCell ref="H131:I131"/>
    <mergeCell ref="H132:I132"/>
    <mergeCell ref="H133:I133"/>
    <mergeCell ref="H134:I134"/>
    <mergeCell ref="H135:I135"/>
    <mergeCell ref="H136:I136"/>
    <mergeCell ref="D138:P138"/>
    <mergeCell ref="G139:I139"/>
    <mergeCell ref="J139:K139"/>
    <mergeCell ref="M139:N139"/>
    <mergeCell ref="O139:P139"/>
    <mergeCell ref="H121:I121"/>
    <mergeCell ref="H122:I122"/>
    <mergeCell ref="H123:I123"/>
    <mergeCell ref="H124:I124"/>
    <mergeCell ref="H125:I125"/>
    <mergeCell ref="H126:I126"/>
    <mergeCell ref="D129:P129"/>
    <mergeCell ref="G130:I130"/>
    <mergeCell ref="J130:K130"/>
    <mergeCell ref="M130:N130"/>
    <mergeCell ref="O130:P130"/>
    <mergeCell ref="D114:F114"/>
    <mergeCell ref="H114:I114"/>
    <mergeCell ref="D115:F115"/>
    <mergeCell ref="H115:I115"/>
    <mergeCell ref="D116:F116"/>
    <mergeCell ref="H116:I116"/>
    <mergeCell ref="H117:I117"/>
    <mergeCell ref="D119:P119"/>
    <mergeCell ref="G120:I120"/>
    <mergeCell ref="J120:K120"/>
    <mergeCell ref="M120:N120"/>
    <mergeCell ref="O120:P120"/>
    <mergeCell ref="D107:F107"/>
    <mergeCell ref="H107:I107"/>
    <mergeCell ref="D108:F108"/>
    <mergeCell ref="H108:I108"/>
    <mergeCell ref="D109:F109"/>
    <mergeCell ref="D110:F110"/>
    <mergeCell ref="D111:F111"/>
    <mergeCell ref="D112:F112"/>
    <mergeCell ref="D113:F113"/>
    <mergeCell ref="D101:F101"/>
    <mergeCell ref="H101:I101"/>
    <mergeCell ref="H102:I102"/>
    <mergeCell ref="D104:P104"/>
    <mergeCell ref="G105:I105"/>
    <mergeCell ref="J105:K105"/>
    <mergeCell ref="M105:N105"/>
    <mergeCell ref="O105:P105"/>
    <mergeCell ref="D106:F106"/>
    <mergeCell ref="H106:I106"/>
    <mergeCell ref="D96:F96"/>
    <mergeCell ref="H96:I96"/>
    <mergeCell ref="D97:F97"/>
    <mergeCell ref="H97:I97"/>
    <mergeCell ref="D98:F98"/>
    <mergeCell ref="H98:I98"/>
    <mergeCell ref="D99:F99"/>
    <mergeCell ref="H99:I99"/>
    <mergeCell ref="D100:F100"/>
    <mergeCell ref="H100:I100"/>
    <mergeCell ref="D91:F91"/>
    <mergeCell ref="H91:I91"/>
    <mergeCell ref="D92:F92"/>
    <mergeCell ref="H92:I92"/>
    <mergeCell ref="D93:F93"/>
    <mergeCell ref="H93:I93"/>
    <mergeCell ref="D94:F94"/>
    <mergeCell ref="H94:I94"/>
    <mergeCell ref="D95:F95"/>
    <mergeCell ref="H95:I95"/>
    <mergeCell ref="D86:F86"/>
    <mergeCell ref="H86:I86"/>
    <mergeCell ref="H87:I87"/>
    <mergeCell ref="C89:C90"/>
    <mergeCell ref="D89:P89"/>
    <mergeCell ref="G90:I90"/>
    <mergeCell ref="J90:K90"/>
    <mergeCell ref="M90:N90"/>
    <mergeCell ref="O90:P90"/>
    <mergeCell ref="D81:F81"/>
    <mergeCell ref="H81:I81"/>
    <mergeCell ref="D82:F82"/>
    <mergeCell ref="H82:I82"/>
    <mergeCell ref="D83:F83"/>
    <mergeCell ref="H83:I83"/>
    <mergeCell ref="D84:F84"/>
    <mergeCell ref="H84:I84"/>
    <mergeCell ref="D85:F85"/>
    <mergeCell ref="H85:I85"/>
    <mergeCell ref="D76:F76"/>
    <mergeCell ref="H76:I76"/>
    <mergeCell ref="D77:F77"/>
    <mergeCell ref="H77:I77"/>
    <mergeCell ref="D78:F78"/>
    <mergeCell ref="H78:I78"/>
    <mergeCell ref="D79:F79"/>
    <mergeCell ref="H79:I79"/>
    <mergeCell ref="D80:F80"/>
    <mergeCell ref="H80:I80"/>
    <mergeCell ref="D71:F71"/>
    <mergeCell ref="H71:I71"/>
    <mergeCell ref="D72:F72"/>
    <mergeCell ref="H72:I72"/>
    <mergeCell ref="D73:F73"/>
    <mergeCell ref="H73:I73"/>
    <mergeCell ref="D74:F74"/>
    <mergeCell ref="H74:I74"/>
    <mergeCell ref="D75:F75"/>
    <mergeCell ref="H75:I75"/>
    <mergeCell ref="H63:I63"/>
    <mergeCell ref="H64:I64"/>
    <mergeCell ref="H65:I65"/>
    <mergeCell ref="H66:I66"/>
    <mergeCell ref="H67:I67"/>
    <mergeCell ref="C69:C70"/>
    <mergeCell ref="D69:P69"/>
    <mergeCell ref="G70:I70"/>
    <mergeCell ref="J70:K70"/>
    <mergeCell ref="M70:N70"/>
    <mergeCell ref="O70:P70"/>
    <mergeCell ref="H54:I54"/>
    <mergeCell ref="H55:I55"/>
    <mergeCell ref="H56:I56"/>
    <mergeCell ref="H57:I57"/>
    <mergeCell ref="H58:I58"/>
    <mergeCell ref="H59:I59"/>
    <mergeCell ref="H60:I60"/>
    <mergeCell ref="H61:I61"/>
    <mergeCell ref="H62:I62"/>
    <mergeCell ref="H47:I47"/>
    <mergeCell ref="D49:P49"/>
    <mergeCell ref="G50:I50"/>
    <mergeCell ref="J50:K50"/>
    <mergeCell ref="M50:N50"/>
    <mergeCell ref="O50:P50"/>
    <mergeCell ref="H51:I51"/>
    <mergeCell ref="H52:I52"/>
    <mergeCell ref="H53:I53"/>
    <mergeCell ref="D42:F42"/>
    <mergeCell ref="H42:I42"/>
    <mergeCell ref="D43:F43"/>
    <mergeCell ref="H43:I43"/>
    <mergeCell ref="D44:F44"/>
    <mergeCell ref="H44:I44"/>
    <mergeCell ref="D45:F45"/>
    <mergeCell ref="H45:I45"/>
    <mergeCell ref="D46:F46"/>
    <mergeCell ref="H46:I46"/>
    <mergeCell ref="D37:F37"/>
    <mergeCell ref="H37:I37"/>
    <mergeCell ref="D38:F38"/>
    <mergeCell ref="H38:I38"/>
    <mergeCell ref="D39:F39"/>
    <mergeCell ref="H39:I39"/>
    <mergeCell ref="D40:F40"/>
    <mergeCell ref="H40:I40"/>
    <mergeCell ref="D41:F41"/>
    <mergeCell ref="H41:I41"/>
    <mergeCell ref="D32:F32"/>
    <mergeCell ref="H32:I32"/>
    <mergeCell ref="D33:F33"/>
    <mergeCell ref="H33:I33"/>
    <mergeCell ref="D34:F34"/>
    <mergeCell ref="H34:I34"/>
    <mergeCell ref="D35:F35"/>
    <mergeCell ref="H35:I35"/>
    <mergeCell ref="D36:F36"/>
    <mergeCell ref="H36:I36"/>
    <mergeCell ref="D23:F23"/>
    <mergeCell ref="H23:I23"/>
    <mergeCell ref="D24:F24"/>
    <mergeCell ref="H24:I24"/>
    <mergeCell ref="H25:I25"/>
    <mergeCell ref="H27:I27"/>
    <mergeCell ref="D29:P29"/>
    <mergeCell ref="C30:C31"/>
    <mergeCell ref="G30:I30"/>
    <mergeCell ref="J30:K30"/>
    <mergeCell ref="M30:N30"/>
    <mergeCell ref="O30:P30"/>
    <mergeCell ref="D31:F31"/>
    <mergeCell ref="H31:I31"/>
    <mergeCell ref="D18:F18"/>
    <mergeCell ref="H18:I18"/>
    <mergeCell ref="D19:F19"/>
    <mergeCell ref="H19:I19"/>
    <mergeCell ref="D20:F20"/>
    <mergeCell ref="H20:I20"/>
    <mergeCell ref="D21:F21"/>
    <mergeCell ref="H21:I21"/>
    <mergeCell ref="D22:F22"/>
    <mergeCell ref="H22:I22"/>
    <mergeCell ref="D13:F13"/>
    <mergeCell ref="H13:I13"/>
    <mergeCell ref="D14:F14"/>
    <mergeCell ref="H14:I14"/>
    <mergeCell ref="D15:F15"/>
    <mergeCell ref="H15:I15"/>
    <mergeCell ref="D16:F16"/>
    <mergeCell ref="H16:I16"/>
    <mergeCell ref="D17:F17"/>
    <mergeCell ref="H17:I17"/>
    <mergeCell ref="D9:F9"/>
    <mergeCell ref="H9:I9"/>
    <mergeCell ref="U9:Y9"/>
    <mergeCell ref="D10:F10"/>
    <mergeCell ref="H10:I10"/>
    <mergeCell ref="D11:F11"/>
    <mergeCell ref="H11:I11"/>
    <mergeCell ref="D12:F12"/>
    <mergeCell ref="H12:I12"/>
    <mergeCell ref="D3:K3"/>
    <mergeCell ref="M3:N3"/>
    <mergeCell ref="N4:P4"/>
    <mergeCell ref="D5:K5"/>
    <mergeCell ref="M5:P5"/>
    <mergeCell ref="D7:P7"/>
    <mergeCell ref="G8:I8"/>
    <mergeCell ref="J8:K8"/>
    <mergeCell ref="M8:N8"/>
    <mergeCell ref="O8:P8"/>
  </mergeCells>
  <dataValidations count="8">
    <dataValidation type="list" allowBlank="1" showErrorMessage="1" sqref="D10:F10 D11:D24 D92:D101" xr:uid="{00000000-0002-0000-0100-000000000000}">
      <formula1>Hauptkultur</formula1>
      <formula2>0</formula2>
    </dataValidation>
    <dataValidation type="list" allowBlank="1" showErrorMessage="1" sqref="D118:F118 D122:F126 D132:F136 D216:D220 D244:F248" xr:uid="{00000000-0002-0000-0100-000001000000}">
      <formula1>Zwischenfrüchte</formula1>
      <formula2>0</formula2>
    </dataValidation>
    <dataValidation type="list" allowBlank="1" showErrorMessage="1" sqref="D171:D185 D254:F263" xr:uid="{00000000-0002-0000-0100-000002000000}">
      <formula1>Wirtschaftsdünger</formula1>
      <formula2>0</formula2>
    </dataValidation>
    <dataValidation type="list" allowBlank="1" showErrorMessage="1" sqref="D32:D46 D52:D66" xr:uid="{00000000-0002-0000-0100-000003000000}">
      <formula1>Tiere</formula1>
      <formula2>0</formula2>
    </dataValidation>
    <dataValidation type="list" allowBlank="1" showErrorMessage="1" sqref="D191:D210" xr:uid="{00000000-0002-0000-0100-000004000000}">
      <formula1>Mineraldünger</formula1>
      <formula2>0</formula2>
    </dataValidation>
    <dataValidation type="list" allowBlank="1" showErrorMessage="1" sqref="D226:D230" xr:uid="{00000000-0002-0000-0100-000005000000}">
      <formula1>Leguminosen</formula1>
      <formula2>0</formula2>
    </dataValidation>
    <dataValidation type="list" allowBlank="1" showErrorMessage="1" sqref="D72:F72 D73:D86" xr:uid="{00000000-0002-0000-0100-000006000000}">
      <formula1>Nebenerntegut</formula1>
      <formula2>0</formula2>
    </dataValidation>
    <dataValidation type="list" allowBlank="1" showErrorMessage="1" sqref="D107:D116 D141:D150 D156:D165" xr:uid="{00000000-0002-0000-0100-000007000000}">
      <formula1>Sekundärrohstoffdünger</formula1>
      <formula2>0</formula2>
    </dataValidation>
  </dataValidations>
  <printOptions verticalCentered="1"/>
  <pageMargins left="0" right="0" top="0.59055118110236227" bottom="0.55118110236220474" header="0.51181102362204722" footer="0.51181102362204722"/>
  <pageSetup paperSize="9" scale="67" firstPageNumber="6" fitToHeight="0" orientation="portrait" blackAndWhite="1" useFirstPageNumber="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244"/>
  <sheetViews>
    <sheetView showGridLines="0" showRowColHeaders="0" zoomScaleNormal="100" workbookViewId="0">
      <pane xSplit="2" ySplit="9" topLeftCell="C10" activePane="bottomRight" state="frozen"/>
      <selection pane="topRight" activeCell="BQ1" sqref="BQ1"/>
      <selection pane="bottomLeft" activeCell="A10" sqref="A10"/>
      <selection pane="bottomRight" activeCell="BQ52" sqref="BQ52"/>
    </sheetView>
  </sheetViews>
  <sheetFormatPr baseColWidth="10" defaultColWidth="9.140625" defaultRowHeight="12.75" x14ac:dyDescent="0.2"/>
  <cols>
    <col min="1" max="1" width="3.28515625" style="367"/>
    <col min="2" max="2" width="2.7109375" style="367"/>
    <col min="3" max="3" width="0" style="367" hidden="1"/>
    <col min="4" max="4" width="40.7109375" style="367"/>
    <col min="5" max="6" width="0" style="367" hidden="1"/>
    <col min="7" max="7" width="9.7109375" style="367"/>
    <col min="8" max="10" width="0" style="367" hidden="1"/>
    <col min="11" max="12" width="9.7109375" style="367"/>
    <col min="13" max="16" width="10.7109375" style="367"/>
    <col min="17" max="18" width="0" style="367" hidden="1"/>
    <col min="19" max="19" width="6" style="367"/>
    <col min="20" max="20" width="0" style="367" hidden="1"/>
    <col min="21" max="21" width="44.7109375" style="367"/>
    <col min="22" max="23" width="7.28515625" style="367"/>
    <col min="24" max="26" width="0" style="367" hidden="1"/>
    <col min="27" max="27" width="9" style="367"/>
    <col min="28" max="28" width="9.28515625" style="367"/>
    <col min="29" max="29" width="19.85546875" style="367"/>
    <col min="30" max="30" width="0" style="367" hidden="1"/>
    <col min="31" max="31" width="30.85546875" style="367"/>
    <col min="32" max="32" width="10.85546875" style="367"/>
    <col min="33" max="33" width="11.7109375" style="367"/>
    <col min="34" max="35" width="0" style="367" hidden="1"/>
    <col min="36" max="36" width="11.7109375" style="367"/>
    <col min="37" max="37" width="0" style="367" hidden="1"/>
    <col min="38" max="38" width="11.7109375" style="367"/>
    <col min="39" max="40" width="0" style="367" hidden="1"/>
    <col min="41" max="41" width="15.85546875" style="367"/>
    <col min="42" max="42" width="0" style="367" hidden="1"/>
    <col min="43" max="43" width="31.42578125" style="367"/>
    <col min="44" max="44" width="0" style="367" hidden="1"/>
    <col min="45" max="45" width="10.42578125" style="367"/>
    <col min="46" max="46" width="10.140625" style="367"/>
    <col min="47" max="47" width="11.85546875" style="367"/>
    <col min="48" max="48" width="19" style="367"/>
    <col min="49" max="49" width="0" style="367" hidden="1"/>
    <col min="50" max="50" width="45" style="367"/>
    <col min="51" max="51" width="0" style="367" hidden="1"/>
    <col min="52" max="52" width="12.28515625" style="367"/>
    <col min="53" max="53" width="7.7109375" style="367"/>
    <col min="54" max="54" width="8.28515625" style="367"/>
    <col min="55" max="55" width="8.5703125" style="367"/>
    <col min="56" max="56" width="8.28515625" style="367"/>
    <col min="57" max="60" width="0" style="367" hidden="1"/>
    <col min="61" max="61" width="11.7109375" style="367"/>
    <col min="62" max="62" width="0" style="367" hidden="1"/>
    <col min="63" max="63" width="53.140625" style="367"/>
    <col min="64" max="64" width="11.7109375" style="367"/>
    <col min="65" max="66" width="0" style="367" hidden="1"/>
    <col min="67" max="69" width="11.7109375" style="367"/>
    <col min="70" max="70" width="16.7109375" style="367"/>
    <col min="71" max="71" width="0" style="367" hidden="1"/>
    <col min="72" max="72" width="34.42578125" style="367"/>
    <col min="73" max="74" width="11.7109375" style="367"/>
    <col min="75" max="77" width="10.28515625" style="367"/>
    <col min="78" max="78" width="29.85546875" style="367"/>
    <col min="79" max="79" width="0" style="367" hidden="1"/>
    <col min="80" max="80" width="11.7109375" style="367"/>
    <col min="81" max="81" width="16.85546875" style="367"/>
    <col min="82" max="82" width="11.7109375" style="367"/>
    <col min="83" max="86" width="10.28515625" style="367"/>
    <col min="87" max="87" width="2.42578125" style="367"/>
    <col min="88" max="88" width="11.7109375" style="367"/>
    <col min="89" max="90" width="11.7109375" style="368"/>
    <col min="91" max="108" width="0" style="368" hidden="1"/>
    <col min="109" max="121" width="11.7109375" style="368"/>
    <col min="122" max="257" width="11.7109375" style="367"/>
    <col min="258" max="1025" width="11.7109375"/>
  </cols>
  <sheetData>
    <row r="1" spans="1:107" ht="15" customHeight="1" x14ac:dyDescent="0.2">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row>
    <row r="2" spans="1:107" ht="15.75" x14ac:dyDescent="0.2">
      <c r="A2" s="368"/>
      <c r="B2" s="369"/>
      <c r="C2" s="370"/>
      <c r="D2" s="371"/>
      <c r="E2" s="372"/>
      <c r="F2" s="373"/>
      <c r="G2" s="373"/>
      <c r="H2" s="373"/>
      <c r="I2" s="373"/>
      <c r="J2" s="373"/>
      <c r="K2" s="373"/>
      <c r="L2" s="373"/>
      <c r="M2" s="373"/>
      <c r="N2" s="369"/>
      <c r="O2" s="369"/>
      <c r="P2" s="369"/>
      <c r="Q2" s="369"/>
      <c r="R2" s="369"/>
      <c r="S2" s="369"/>
      <c r="T2" s="369"/>
      <c r="U2" s="369"/>
      <c r="V2" s="369"/>
      <c r="W2" s="369"/>
      <c r="X2" s="369"/>
      <c r="Y2" s="369"/>
      <c r="Z2" s="369"/>
      <c r="AA2" s="369"/>
      <c r="AB2" s="369"/>
      <c r="AC2" s="369"/>
      <c r="AE2" s="369"/>
      <c r="AF2" s="369"/>
      <c r="AG2" s="369"/>
      <c r="AH2" s="369"/>
      <c r="AI2" s="369"/>
      <c r="AJ2" s="369"/>
      <c r="AK2" s="369"/>
      <c r="AL2" s="369"/>
      <c r="AM2" s="369"/>
      <c r="AN2" s="369"/>
      <c r="AO2" s="369"/>
      <c r="AP2" s="369"/>
      <c r="AQ2" s="369"/>
      <c r="AR2" s="369"/>
      <c r="AS2" s="369"/>
      <c r="AT2" s="369"/>
      <c r="AU2" s="369"/>
      <c r="AV2" s="369"/>
      <c r="AX2" s="369"/>
      <c r="AY2" s="369"/>
      <c r="AZ2" s="369"/>
      <c r="BA2" s="369"/>
      <c r="BB2" s="369"/>
      <c r="BC2" s="369"/>
      <c r="BD2" s="369"/>
      <c r="BE2" s="369"/>
      <c r="BF2" s="369"/>
      <c r="BG2" s="369"/>
      <c r="BH2" s="369"/>
      <c r="BI2" s="369"/>
      <c r="BJ2" s="374"/>
      <c r="BK2" s="369"/>
      <c r="BL2" s="369"/>
      <c r="BM2" s="369"/>
      <c r="BN2" s="369"/>
      <c r="BO2" s="369"/>
      <c r="BP2" s="369"/>
      <c r="BQ2" s="369"/>
      <c r="BR2" s="369"/>
      <c r="BT2" s="369"/>
      <c r="BU2" s="369"/>
      <c r="BV2" s="369"/>
      <c r="BW2" s="369"/>
      <c r="BX2" s="369"/>
      <c r="BY2" s="369"/>
      <c r="BZ2" s="369"/>
      <c r="CB2" s="369"/>
      <c r="CC2" s="369"/>
      <c r="CD2" s="369"/>
      <c r="CE2" s="369"/>
      <c r="CF2" s="369"/>
      <c r="CG2" s="369"/>
      <c r="CH2" s="369"/>
      <c r="CI2" s="369"/>
      <c r="CJ2" s="369"/>
    </row>
    <row r="3" spans="1:107" ht="21" customHeight="1" x14ac:dyDescent="0.2">
      <c r="A3" s="368"/>
      <c r="B3" s="369"/>
      <c r="C3" s="375" t="s">
        <v>100</v>
      </c>
      <c r="D3" s="997" t="s">
        <v>101</v>
      </c>
      <c r="E3" s="997"/>
      <c r="F3" s="997"/>
      <c r="G3" s="997"/>
      <c r="H3" s="997"/>
      <c r="I3" s="997"/>
      <c r="J3" s="997"/>
      <c r="K3" s="997"/>
      <c r="L3" s="997"/>
      <c r="M3" s="997"/>
      <c r="N3" s="997"/>
      <c r="O3" s="997"/>
      <c r="P3" s="997"/>
      <c r="Q3" s="369"/>
      <c r="R3" s="369"/>
      <c r="S3" s="369"/>
      <c r="T3" s="369"/>
      <c r="U3" s="369"/>
      <c r="V3" s="369"/>
      <c r="W3" s="369"/>
      <c r="X3" s="369"/>
      <c r="Y3" s="369"/>
      <c r="Z3" s="369"/>
      <c r="AA3" s="369"/>
      <c r="AB3" s="369"/>
      <c r="AC3" s="369"/>
      <c r="AE3" s="369"/>
      <c r="AF3" s="369"/>
      <c r="AG3" s="369"/>
      <c r="AH3" s="369"/>
      <c r="AI3" s="369"/>
      <c r="AJ3" s="369"/>
      <c r="AK3" s="369"/>
      <c r="AL3" s="369"/>
      <c r="AM3" s="369"/>
      <c r="AN3" s="369"/>
      <c r="AO3" s="369"/>
      <c r="AP3" s="369"/>
      <c r="AQ3" s="369"/>
      <c r="AR3" s="369"/>
      <c r="AS3" s="369"/>
      <c r="AT3" s="369"/>
      <c r="AU3" s="369"/>
      <c r="AV3" s="369"/>
      <c r="AX3" s="376" t="s">
        <v>102</v>
      </c>
      <c r="AY3" s="376"/>
      <c r="AZ3" s="377"/>
      <c r="BA3" s="377"/>
      <c r="BB3" s="378"/>
      <c r="BC3" s="378"/>
      <c r="BD3" s="378"/>
      <c r="BE3" s="369"/>
      <c r="BF3" s="369"/>
      <c r="BG3" s="369"/>
      <c r="BH3" s="369"/>
      <c r="BI3" s="369"/>
      <c r="BJ3" s="374"/>
      <c r="BK3" s="369"/>
      <c r="BL3" s="369"/>
      <c r="BM3" s="369"/>
      <c r="BN3" s="369"/>
      <c r="BO3" s="369"/>
      <c r="BP3" s="369"/>
      <c r="BQ3" s="369"/>
      <c r="BR3" s="369"/>
      <c r="BT3" s="369"/>
      <c r="BU3" s="369"/>
      <c r="BV3" s="369"/>
      <c r="BW3" s="369"/>
      <c r="BX3" s="369"/>
      <c r="BY3" s="369"/>
      <c r="BZ3" s="369"/>
      <c r="CB3" s="369"/>
      <c r="CC3" s="369"/>
      <c r="CD3" s="369"/>
      <c r="CE3" s="369"/>
      <c r="CF3" s="369"/>
      <c r="CG3" s="369"/>
      <c r="CH3" s="369"/>
      <c r="CI3" s="369"/>
      <c r="CJ3" s="369"/>
    </row>
    <row r="4" spans="1:107" ht="15.75" customHeight="1" x14ac:dyDescent="0.2">
      <c r="A4" s="368"/>
      <c r="B4" s="369"/>
      <c r="C4" s="379"/>
      <c r="D4" s="380"/>
      <c r="E4" s="381"/>
      <c r="F4" s="370"/>
      <c r="G4" s="370"/>
      <c r="H4" s="370"/>
      <c r="I4" s="370"/>
      <c r="J4" s="370"/>
      <c r="K4" s="370"/>
      <c r="L4" s="370"/>
      <c r="M4" s="370"/>
      <c r="N4" s="382"/>
      <c r="O4" s="382"/>
      <c r="P4" s="382"/>
      <c r="Q4" s="382"/>
      <c r="R4" s="382"/>
      <c r="S4" s="369"/>
      <c r="T4" s="369"/>
      <c r="U4" s="369"/>
      <c r="V4" s="369"/>
      <c r="W4" s="369"/>
      <c r="X4" s="369"/>
      <c r="Y4" s="369"/>
      <c r="Z4" s="369"/>
      <c r="AA4" s="369"/>
      <c r="AB4" s="369"/>
      <c r="AC4" s="369"/>
      <c r="AE4" s="369"/>
      <c r="AF4" s="369"/>
      <c r="AG4" s="369"/>
      <c r="AH4" s="369"/>
      <c r="AI4" s="369"/>
      <c r="AJ4" s="369"/>
      <c r="AK4" s="369"/>
      <c r="AL4" s="369"/>
      <c r="AM4" s="369"/>
      <c r="AN4" s="369"/>
      <c r="AO4" s="369"/>
      <c r="AP4" s="369"/>
      <c r="AQ4" s="369"/>
      <c r="AR4" s="369"/>
      <c r="AS4" s="369"/>
      <c r="AT4" s="369"/>
      <c r="AU4" s="369"/>
      <c r="AV4" s="369"/>
      <c r="AX4" s="376" t="s">
        <v>103</v>
      </c>
      <c r="AY4" s="376"/>
      <c r="AZ4" s="377"/>
      <c r="BA4" s="377"/>
      <c r="BB4" s="378"/>
      <c r="BC4" s="378"/>
      <c r="BD4" s="378"/>
      <c r="BE4" s="369"/>
      <c r="BF4" s="369"/>
      <c r="BG4" s="369"/>
      <c r="BH4" s="369"/>
      <c r="BI4" s="369"/>
      <c r="BJ4" s="374"/>
      <c r="BK4" s="369"/>
      <c r="BL4" s="369"/>
      <c r="BM4" s="369"/>
      <c r="BN4" s="369"/>
      <c r="BO4" s="369"/>
      <c r="BP4" s="369"/>
      <c r="BQ4" s="369"/>
      <c r="BR4" s="369"/>
      <c r="BT4" s="369"/>
      <c r="BU4" s="369"/>
      <c r="BV4" s="369"/>
      <c r="BW4" s="369"/>
      <c r="BX4" s="369"/>
      <c r="BY4" s="369"/>
      <c r="BZ4" s="369"/>
      <c r="CB4" s="369"/>
      <c r="CC4" s="369"/>
      <c r="CD4" s="369"/>
      <c r="CE4" s="369"/>
      <c r="CF4" s="369"/>
      <c r="CG4" s="369"/>
      <c r="CH4" s="369"/>
      <c r="CI4" s="369"/>
      <c r="CJ4" s="369"/>
    </row>
    <row r="5" spans="1:107" ht="17.25" customHeight="1" x14ac:dyDescent="0.2">
      <c r="A5" s="368"/>
      <c r="B5" s="369"/>
      <c r="C5" s="370" t="s">
        <v>104</v>
      </c>
      <c r="D5" s="383"/>
      <c r="E5" s="384"/>
      <c r="F5" s="385"/>
      <c r="G5" s="385"/>
      <c r="H5" s="385"/>
      <c r="I5" s="385"/>
      <c r="J5" s="385"/>
      <c r="K5" s="385"/>
      <c r="L5" s="385"/>
      <c r="M5" s="385"/>
      <c r="N5" s="386"/>
      <c r="O5" s="386"/>
      <c r="P5" s="386"/>
      <c r="Q5" s="386"/>
      <c r="R5" s="387"/>
      <c r="S5" s="369"/>
      <c r="T5" s="369"/>
      <c r="U5" s="369"/>
      <c r="V5" s="369"/>
      <c r="W5" s="369"/>
      <c r="X5" s="369"/>
      <c r="Y5" s="369"/>
      <c r="Z5" s="369"/>
      <c r="AA5" s="369"/>
      <c r="AB5" s="369"/>
      <c r="AC5" s="369"/>
      <c r="AE5" s="369"/>
      <c r="AF5" s="369"/>
      <c r="AG5" s="369"/>
      <c r="AH5" s="369"/>
      <c r="AI5" s="369"/>
      <c r="AJ5" s="369"/>
      <c r="AK5" s="369"/>
      <c r="AL5" s="369"/>
      <c r="AM5" s="369"/>
      <c r="AN5" s="369"/>
      <c r="AO5" s="369"/>
      <c r="AP5" s="369"/>
      <c r="AQ5" s="369"/>
      <c r="AR5" s="369"/>
      <c r="AS5" s="369"/>
      <c r="AT5" s="369"/>
      <c r="AU5" s="369"/>
      <c r="AV5" s="369"/>
      <c r="AX5" s="376" t="s">
        <v>105</v>
      </c>
      <c r="AY5" s="376"/>
      <c r="AZ5" s="377"/>
      <c r="BA5" s="377"/>
      <c r="BB5" s="378"/>
      <c r="BC5" s="378"/>
      <c r="BD5" s="378"/>
      <c r="BE5" s="369"/>
      <c r="BF5" s="369"/>
      <c r="BG5" s="369"/>
      <c r="BH5" s="369"/>
      <c r="BI5" s="369"/>
      <c r="BJ5" s="374"/>
      <c r="BK5" s="369"/>
      <c r="BL5" s="369"/>
      <c r="BM5" s="369"/>
      <c r="BN5" s="369"/>
      <c r="BO5" s="369"/>
      <c r="BP5" s="369"/>
      <c r="BQ5" s="369"/>
      <c r="BR5" s="369"/>
      <c r="BT5" s="369"/>
      <c r="BU5" s="369"/>
      <c r="BV5" s="369"/>
      <c r="BW5" s="369"/>
      <c r="BX5" s="369"/>
      <c r="BY5" s="369"/>
      <c r="BZ5" s="369"/>
      <c r="CB5" s="369"/>
      <c r="CC5" s="369"/>
      <c r="CD5" s="369"/>
      <c r="CE5" s="369"/>
      <c r="CF5" s="369"/>
      <c r="CG5" s="369"/>
      <c r="CH5" s="369"/>
      <c r="CI5" s="369"/>
      <c r="CJ5" s="369"/>
    </row>
    <row r="6" spans="1:107" ht="14.25" customHeight="1" x14ac:dyDescent="0.2">
      <c r="A6" s="368"/>
      <c r="B6" s="369"/>
      <c r="C6" s="388" t="s">
        <v>106</v>
      </c>
      <c r="D6" s="998" t="s">
        <v>107</v>
      </c>
      <c r="E6" s="998"/>
      <c r="F6" s="998"/>
      <c r="G6" s="998"/>
      <c r="H6" s="998"/>
      <c r="I6" s="998"/>
      <c r="J6" s="998"/>
      <c r="K6" s="998"/>
      <c r="L6" s="998"/>
      <c r="M6" s="998"/>
      <c r="N6" s="998"/>
      <c r="O6" s="998"/>
      <c r="P6" s="998"/>
      <c r="Q6" s="998"/>
      <c r="R6" s="998"/>
      <c r="S6" s="369"/>
      <c r="T6" s="369"/>
      <c r="U6" s="369"/>
      <c r="V6" s="369"/>
      <c r="W6" s="369"/>
      <c r="X6" s="369"/>
      <c r="Y6" s="369"/>
      <c r="Z6" s="369"/>
      <c r="AA6" s="369"/>
      <c r="AB6" s="369"/>
      <c r="AC6" s="369"/>
      <c r="AE6" s="369"/>
      <c r="AF6" s="369"/>
      <c r="AG6" s="369"/>
      <c r="AH6" s="369"/>
      <c r="AI6" s="369"/>
      <c r="AJ6" s="369"/>
      <c r="AK6" s="369"/>
      <c r="AL6" s="369"/>
      <c r="AM6" s="369"/>
      <c r="AN6" s="369"/>
      <c r="AO6" s="369"/>
      <c r="AP6" s="389"/>
      <c r="AQ6" s="999" t="s">
        <v>108</v>
      </c>
      <c r="AR6" s="999"/>
      <c r="AS6" s="999"/>
      <c r="AT6" s="999"/>
      <c r="AU6" s="999"/>
      <c r="AV6" s="369"/>
      <c r="AX6" s="369"/>
      <c r="AY6" s="369"/>
      <c r="AZ6" s="369"/>
      <c r="BA6" s="369"/>
      <c r="BB6" s="390"/>
      <c r="BC6" s="390"/>
      <c r="BD6" s="390"/>
      <c r="BE6" s="390"/>
      <c r="BF6" s="390"/>
      <c r="BG6" s="390"/>
      <c r="BH6" s="390"/>
      <c r="BI6" s="369"/>
      <c r="BJ6" s="374"/>
      <c r="BK6" s="369"/>
      <c r="BL6" s="369"/>
      <c r="BM6" s="369"/>
      <c r="BN6" s="369"/>
      <c r="BO6" s="369"/>
      <c r="BP6" s="369"/>
      <c r="BQ6" s="369"/>
      <c r="BR6" s="369"/>
      <c r="BT6" s="369"/>
      <c r="BU6" s="369"/>
      <c r="BV6" s="369"/>
      <c r="BW6" s="369"/>
      <c r="BX6" s="369"/>
      <c r="BY6" s="369"/>
      <c r="BZ6" s="369"/>
      <c r="CB6" s="369"/>
      <c r="CC6" s="369"/>
      <c r="CD6" s="369"/>
      <c r="CE6" s="369"/>
      <c r="CF6" s="369"/>
      <c r="CG6" s="369"/>
      <c r="CH6" s="369"/>
      <c r="CI6" s="369"/>
      <c r="CJ6" s="369"/>
    </row>
    <row r="7" spans="1:107" ht="46.5" customHeight="1" x14ac:dyDescent="0.2">
      <c r="A7" s="368"/>
      <c r="B7" s="369"/>
      <c r="C7" s="382"/>
      <c r="D7" s="998"/>
      <c r="E7" s="998"/>
      <c r="F7" s="998"/>
      <c r="G7" s="998"/>
      <c r="H7" s="998"/>
      <c r="I7" s="998"/>
      <c r="J7" s="998"/>
      <c r="K7" s="998"/>
      <c r="L7" s="998"/>
      <c r="M7" s="998"/>
      <c r="N7" s="998"/>
      <c r="O7" s="998"/>
      <c r="P7" s="998"/>
      <c r="Q7" s="998"/>
      <c r="R7" s="998"/>
      <c r="S7" s="369"/>
      <c r="T7" s="380" t="s">
        <v>109</v>
      </c>
      <c r="U7" s="391" t="s">
        <v>109</v>
      </c>
      <c r="V7" s="392"/>
      <c r="W7" s="392"/>
      <c r="X7" s="392"/>
      <c r="Y7" s="392"/>
      <c r="Z7" s="392"/>
      <c r="AA7" s="393"/>
      <c r="AB7" s="394"/>
      <c r="AC7" s="369"/>
      <c r="AD7" s="395"/>
      <c r="AE7" s="1000" t="s">
        <v>110</v>
      </c>
      <c r="AF7" s="1000"/>
      <c r="AG7" s="1000"/>
      <c r="AH7" s="1000"/>
      <c r="AI7" s="1000"/>
      <c r="AJ7" s="1000"/>
      <c r="AK7" s="1000"/>
      <c r="AL7" s="1000"/>
      <c r="AM7" s="396"/>
      <c r="AN7" s="397"/>
      <c r="AO7" s="369"/>
      <c r="AP7" s="389"/>
      <c r="AQ7" s="999"/>
      <c r="AR7" s="999"/>
      <c r="AS7" s="999"/>
      <c r="AT7" s="999"/>
      <c r="AU7" s="999"/>
      <c r="AV7" s="369"/>
      <c r="AW7" s="395"/>
      <c r="AX7" s="1001" t="s">
        <v>111</v>
      </c>
      <c r="AY7" s="1001"/>
      <c r="AZ7" s="1001"/>
      <c r="BA7" s="1001"/>
      <c r="BB7" s="1001"/>
      <c r="BC7" s="1001"/>
      <c r="BD7" s="1001"/>
      <c r="BE7" s="398"/>
      <c r="BF7" s="398"/>
      <c r="BG7" s="398"/>
      <c r="BH7" s="399"/>
      <c r="BI7" s="369"/>
      <c r="BJ7" s="400"/>
      <c r="BK7" s="1002" t="s">
        <v>112</v>
      </c>
      <c r="BL7" s="1002"/>
      <c r="BM7" s="1002"/>
      <c r="BN7" s="1002"/>
      <c r="BO7" s="1002"/>
      <c r="BP7" s="1002"/>
      <c r="BQ7" s="1002"/>
      <c r="BR7" s="369"/>
      <c r="BS7" s="395"/>
      <c r="BT7" s="401" t="s">
        <v>113</v>
      </c>
      <c r="BU7" s="402"/>
      <c r="BV7" s="402"/>
      <c r="BW7" s="402"/>
      <c r="BX7" s="402"/>
      <c r="BY7" s="403"/>
      <c r="BZ7" s="369"/>
      <c r="CA7" s="395"/>
      <c r="CB7" s="404" t="s">
        <v>114</v>
      </c>
      <c r="CC7" s="405"/>
      <c r="CD7" s="406"/>
      <c r="CE7" s="406"/>
      <c r="CF7" s="406"/>
      <c r="CG7" s="406"/>
      <c r="CH7" s="407"/>
      <c r="CI7" s="369"/>
      <c r="CJ7" s="369"/>
    </row>
    <row r="8" spans="1:107" ht="43.5" customHeight="1" x14ac:dyDescent="0.25">
      <c r="A8" s="368"/>
      <c r="B8" s="369"/>
      <c r="C8" s="408"/>
      <c r="D8" s="1003" t="s">
        <v>115</v>
      </c>
      <c r="E8" s="1003"/>
      <c r="F8" s="1003"/>
      <c r="G8" s="1003"/>
      <c r="H8" s="1003"/>
      <c r="I8" s="1003"/>
      <c r="J8" s="1003"/>
      <c r="K8" s="1003"/>
      <c r="L8" s="409"/>
      <c r="M8" s="1004" t="s">
        <v>116</v>
      </c>
      <c r="N8" s="1004"/>
      <c r="O8" s="1004"/>
      <c r="P8" s="1004"/>
      <c r="Q8" s="386"/>
      <c r="R8" s="1005" t="s">
        <v>117</v>
      </c>
      <c r="S8" s="369"/>
      <c r="T8" s="369"/>
      <c r="U8" s="1006" t="s">
        <v>115</v>
      </c>
      <c r="V8" s="1006"/>
      <c r="W8" s="1006"/>
      <c r="X8" s="1006"/>
      <c r="Y8" s="1006"/>
      <c r="Z8" s="1006"/>
      <c r="AA8" s="1006"/>
      <c r="AB8" s="1006"/>
      <c r="AC8" s="369"/>
      <c r="AD8" s="410"/>
      <c r="AE8" s="1007" t="s">
        <v>118</v>
      </c>
      <c r="AF8" s="1007"/>
      <c r="AG8" s="1007"/>
      <c r="AH8" s="1007"/>
      <c r="AI8" s="1007"/>
      <c r="AJ8" s="1007"/>
      <c r="AK8" s="1007"/>
      <c r="AL8" s="1007"/>
      <c r="AM8" s="411"/>
      <c r="AN8" s="412"/>
      <c r="AO8" s="369"/>
      <c r="AP8" s="413"/>
      <c r="AQ8" s="414" t="s">
        <v>115</v>
      </c>
      <c r="AR8" s="415"/>
      <c r="AS8" s="1008" t="s">
        <v>119</v>
      </c>
      <c r="AT8" s="415"/>
      <c r="AU8" s="415"/>
      <c r="AV8" s="369"/>
      <c r="AW8" s="416"/>
      <c r="AX8" s="417" t="s">
        <v>115</v>
      </c>
      <c r="AY8" s="418"/>
      <c r="AZ8" s="1009" t="s">
        <v>120</v>
      </c>
      <c r="BA8" s="1010" t="s">
        <v>121</v>
      </c>
      <c r="BB8" s="1011"/>
      <c r="BC8" s="1011"/>
      <c r="BD8" s="1011"/>
      <c r="BE8" s="1011" t="s">
        <v>122</v>
      </c>
      <c r="BF8" s="1011"/>
      <c r="BG8" s="1011"/>
      <c r="BH8" s="1011"/>
      <c r="BI8" s="369"/>
      <c r="BJ8" s="419"/>
      <c r="BK8" s="417" t="s">
        <v>115</v>
      </c>
      <c r="BL8" s="420" t="s">
        <v>123</v>
      </c>
      <c r="BM8" s="1012" t="s">
        <v>124</v>
      </c>
      <c r="BN8" s="420" t="s">
        <v>125</v>
      </c>
      <c r="BO8" s="1013" t="s">
        <v>750</v>
      </c>
      <c r="BP8" s="1013"/>
      <c r="BQ8" s="1013"/>
      <c r="BR8" s="369"/>
      <c r="BS8" s="421"/>
      <c r="BT8" s="422" t="s">
        <v>115</v>
      </c>
      <c r="BU8" s="423" t="s">
        <v>123</v>
      </c>
      <c r="BV8" s="1014" t="s">
        <v>124</v>
      </c>
      <c r="BW8" s="1015" t="s">
        <v>126</v>
      </c>
      <c r="BX8" s="1015"/>
      <c r="BY8" s="1015"/>
      <c r="BZ8" s="369"/>
      <c r="CA8" s="424"/>
      <c r="CB8" s="1016" t="s">
        <v>115</v>
      </c>
      <c r="CC8" s="1016"/>
      <c r="CD8" s="425"/>
      <c r="CE8" s="1017" t="s">
        <v>127</v>
      </c>
      <c r="CF8" s="1017"/>
      <c r="CG8" s="1017"/>
      <c r="CH8" s="1017"/>
      <c r="CI8" s="369"/>
      <c r="CJ8" s="369"/>
    </row>
    <row r="9" spans="1:107" ht="35.25" customHeight="1" x14ac:dyDescent="0.25">
      <c r="A9" s="368"/>
      <c r="B9" s="369"/>
      <c r="C9" s="426" t="s">
        <v>128</v>
      </c>
      <c r="D9" s="427" t="s">
        <v>129</v>
      </c>
      <c r="E9" s="428" t="s">
        <v>130</v>
      </c>
      <c r="F9" s="429" t="s">
        <v>131</v>
      </c>
      <c r="G9" s="429" t="s">
        <v>132</v>
      </c>
      <c r="H9" s="430"/>
      <c r="I9" s="430" t="s">
        <v>133</v>
      </c>
      <c r="J9" s="430"/>
      <c r="K9" s="430" t="s">
        <v>134</v>
      </c>
      <c r="L9" s="431" t="s">
        <v>135</v>
      </c>
      <c r="M9" s="430" t="s">
        <v>136</v>
      </c>
      <c r="N9" s="429" t="s">
        <v>137</v>
      </c>
      <c r="O9" s="429" t="s">
        <v>138</v>
      </c>
      <c r="P9" s="429" t="s">
        <v>139</v>
      </c>
      <c r="Q9" s="432" t="s">
        <v>140</v>
      </c>
      <c r="R9" s="1005"/>
      <c r="S9" s="369"/>
      <c r="T9" s="433" t="s">
        <v>128</v>
      </c>
      <c r="U9" s="434" t="s">
        <v>141</v>
      </c>
      <c r="V9" s="435" t="s">
        <v>142</v>
      </c>
      <c r="W9" s="435" t="s">
        <v>143</v>
      </c>
      <c r="X9" s="435" t="s">
        <v>38</v>
      </c>
      <c r="Y9" s="435" t="s">
        <v>144</v>
      </c>
      <c r="Z9" s="435" t="s">
        <v>145</v>
      </c>
      <c r="AA9" s="435" t="s">
        <v>146</v>
      </c>
      <c r="AB9" s="435" t="s">
        <v>147</v>
      </c>
      <c r="AC9" s="369"/>
      <c r="AD9" s="436" t="s">
        <v>128</v>
      </c>
      <c r="AE9" s="1018" t="s">
        <v>148</v>
      </c>
      <c r="AF9" s="1018"/>
      <c r="AG9" s="437" t="s">
        <v>149</v>
      </c>
      <c r="AH9" s="437" t="s">
        <v>150</v>
      </c>
      <c r="AI9" s="437"/>
      <c r="AJ9" s="438" t="s">
        <v>142</v>
      </c>
      <c r="AK9" s="438" t="s">
        <v>151</v>
      </c>
      <c r="AL9" s="439" t="s">
        <v>152</v>
      </c>
      <c r="AM9" s="438" t="s">
        <v>153</v>
      </c>
      <c r="AN9" s="438" t="s">
        <v>154</v>
      </c>
      <c r="AO9" s="369"/>
      <c r="AP9" s="426" t="s">
        <v>128</v>
      </c>
      <c r="AQ9" s="1019" t="s">
        <v>155</v>
      </c>
      <c r="AR9" s="1019"/>
      <c r="AS9" s="1008"/>
      <c r="AT9" s="440" t="s">
        <v>156</v>
      </c>
      <c r="AU9" s="440" t="s">
        <v>157</v>
      </c>
      <c r="AV9" s="369"/>
      <c r="AW9" s="441" t="s">
        <v>128</v>
      </c>
      <c r="AX9" s="442" t="s">
        <v>158</v>
      </c>
      <c r="AY9" s="443" t="s">
        <v>159</v>
      </c>
      <c r="AZ9" s="1009"/>
      <c r="BA9" s="1010"/>
      <c r="BB9" s="444" t="s">
        <v>160</v>
      </c>
      <c r="BC9" s="445" t="s">
        <v>161</v>
      </c>
      <c r="BD9" s="446" t="s">
        <v>162</v>
      </c>
      <c r="BE9" s="447" t="s">
        <v>142</v>
      </c>
      <c r="BF9" s="448" t="s">
        <v>143</v>
      </c>
      <c r="BG9" s="448" t="s">
        <v>38</v>
      </c>
      <c r="BH9" s="449" t="s">
        <v>154</v>
      </c>
      <c r="BI9" s="369"/>
      <c r="BJ9" s="450" t="s">
        <v>128</v>
      </c>
      <c r="BK9" s="442" t="s">
        <v>163</v>
      </c>
      <c r="BL9" s="451" t="s">
        <v>164</v>
      </c>
      <c r="BM9" s="1012"/>
      <c r="BN9" s="451" t="s">
        <v>165</v>
      </c>
      <c r="BO9" s="452" t="s">
        <v>142</v>
      </c>
      <c r="BP9" s="453" t="s">
        <v>166</v>
      </c>
      <c r="BQ9" s="453" t="s">
        <v>167</v>
      </c>
      <c r="BR9" s="369"/>
      <c r="BS9" s="454" t="s">
        <v>128</v>
      </c>
      <c r="BT9" s="455" t="s">
        <v>158</v>
      </c>
      <c r="BU9" s="456" t="s">
        <v>164</v>
      </c>
      <c r="BV9" s="1014"/>
      <c r="BW9" s="457" t="s">
        <v>142</v>
      </c>
      <c r="BX9" s="458" t="s">
        <v>168</v>
      </c>
      <c r="BY9" s="458" t="s">
        <v>169</v>
      </c>
      <c r="BZ9" s="369"/>
      <c r="CA9" s="441" t="s">
        <v>128</v>
      </c>
      <c r="CB9" s="1020" t="s">
        <v>33</v>
      </c>
      <c r="CC9" s="1020"/>
      <c r="CD9" s="459" t="s">
        <v>149</v>
      </c>
      <c r="CE9" s="460" t="s">
        <v>142</v>
      </c>
      <c r="CF9" s="460" t="s">
        <v>170</v>
      </c>
      <c r="CG9" s="460" t="s">
        <v>152</v>
      </c>
      <c r="CH9" s="460" t="s">
        <v>153</v>
      </c>
      <c r="CI9" s="369"/>
      <c r="CJ9" s="369"/>
    </row>
    <row r="10" spans="1:107" ht="18" customHeight="1" x14ac:dyDescent="0.2">
      <c r="A10" s="368"/>
      <c r="B10" s="369"/>
      <c r="C10" s="461"/>
      <c r="D10" s="462" t="s">
        <v>171</v>
      </c>
      <c r="E10" s="463" t="s">
        <v>172</v>
      </c>
      <c r="F10" s="464"/>
      <c r="G10" s="465"/>
      <c r="H10" s="466"/>
      <c r="I10" s="467">
        <v>30</v>
      </c>
      <c r="J10" s="468"/>
      <c r="K10" s="469"/>
      <c r="L10" s="469"/>
      <c r="M10" s="470"/>
      <c r="N10" s="469"/>
      <c r="O10" s="469"/>
      <c r="P10" s="469"/>
      <c r="Q10" s="471"/>
      <c r="R10" s="472"/>
      <c r="S10" s="369"/>
      <c r="T10" s="473">
        <v>50</v>
      </c>
      <c r="U10" s="474" t="s">
        <v>86</v>
      </c>
      <c r="V10" s="475">
        <v>27</v>
      </c>
      <c r="W10" s="475"/>
      <c r="X10" s="475"/>
      <c r="Y10" s="475"/>
      <c r="Z10" s="475"/>
      <c r="AA10" s="475">
        <v>-15</v>
      </c>
      <c r="AB10" s="476">
        <v>18.3</v>
      </c>
      <c r="AC10" s="369"/>
      <c r="AD10" s="477"/>
      <c r="AE10" s="478" t="s">
        <v>173</v>
      </c>
      <c r="AF10" s="479"/>
      <c r="AG10" s="480"/>
      <c r="AH10" s="481"/>
      <c r="AI10" s="481"/>
      <c r="AJ10" s="480"/>
      <c r="AK10" s="480"/>
      <c r="AL10" s="480"/>
      <c r="AM10" s="482"/>
      <c r="AN10" s="482"/>
      <c r="AO10" s="369"/>
      <c r="AP10" s="483"/>
      <c r="AQ10" s="484" t="s">
        <v>174</v>
      </c>
      <c r="AR10" s="485"/>
      <c r="AS10" s="485"/>
      <c r="AT10" s="485"/>
      <c r="AU10" s="486"/>
      <c r="AV10" s="369"/>
      <c r="AW10" s="487">
        <v>1</v>
      </c>
      <c r="AX10" s="474" t="s">
        <v>175</v>
      </c>
      <c r="AY10" s="488"/>
      <c r="AZ10" s="475"/>
      <c r="BA10" s="475"/>
      <c r="BB10" s="489"/>
      <c r="BC10" s="490"/>
      <c r="BD10" s="491"/>
      <c r="BE10" s="492">
        <v>2.21</v>
      </c>
      <c r="BF10" s="493">
        <v>1.04</v>
      </c>
      <c r="BG10" s="493">
        <v>1.72</v>
      </c>
      <c r="BH10" s="494">
        <v>0.36</v>
      </c>
      <c r="BI10" s="369"/>
      <c r="BJ10" s="495">
        <v>1</v>
      </c>
      <c r="BK10" s="496" t="s">
        <v>176</v>
      </c>
      <c r="BL10" s="497">
        <v>65</v>
      </c>
      <c r="BM10" s="497">
        <v>70</v>
      </c>
      <c r="BN10" s="497">
        <v>0.8</v>
      </c>
      <c r="BO10" s="498">
        <v>2.4</v>
      </c>
      <c r="BP10" s="498">
        <v>0.3</v>
      </c>
      <c r="BQ10" s="498">
        <v>0.13</v>
      </c>
      <c r="BR10" s="369"/>
      <c r="BS10" s="495">
        <f>1</f>
        <v>1</v>
      </c>
      <c r="BT10" s="496" t="s">
        <v>177</v>
      </c>
      <c r="BU10" s="499">
        <v>20</v>
      </c>
      <c r="BV10" s="499">
        <v>650</v>
      </c>
      <c r="BW10" s="500">
        <v>0.55000000000000004</v>
      </c>
      <c r="BX10" s="500">
        <v>0.13</v>
      </c>
      <c r="BY10" s="500">
        <v>0.6</v>
      </c>
      <c r="BZ10" s="369"/>
      <c r="CA10" s="501">
        <v>1</v>
      </c>
      <c r="CB10" s="502" t="s">
        <v>73</v>
      </c>
      <c r="CC10" s="503"/>
      <c r="CD10" s="504"/>
      <c r="CE10" s="504">
        <v>7</v>
      </c>
      <c r="CF10" s="504"/>
      <c r="CG10" s="504">
        <v>11</v>
      </c>
      <c r="CH10" s="504">
        <v>1</v>
      </c>
      <c r="CI10" s="369"/>
      <c r="CJ10" s="369"/>
      <c r="CN10" s="368" t="str">
        <f t="shared" ref="CN10:CN41" si="0">D10</f>
        <v>Tierische Erzeugnisse</v>
      </c>
      <c r="CO10" s="505">
        <f t="shared" ref="CO10:CO41" si="1">C10</f>
        <v>0</v>
      </c>
      <c r="CP10" s="368" t="s">
        <v>178</v>
      </c>
      <c r="CR10" s="368" t="s">
        <v>148</v>
      </c>
      <c r="CT10" s="368" t="s">
        <v>179</v>
      </c>
      <c r="CV10" s="368" t="s">
        <v>180</v>
      </c>
      <c r="CX10" s="368" t="s">
        <v>181</v>
      </c>
      <c r="CZ10" s="368" t="s">
        <v>182</v>
      </c>
      <c r="DB10" s="368" t="s">
        <v>183</v>
      </c>
    </row>
    <row r="11" spans="1:107" ht="18" customHeight="1" x14ac:dyDescent="0.2">
      <c r="A11" s="368"/>
      <c r="B11" s="369"/>
      <c r="C11" s="506">
        <v>1</v>
      </c>
      <c r="D11" s="462" t="s">
        <v>56</v>
      </c>
      <c r="E11" s="507" t="s">
        <v>184</v>
      </c>
      <c r="F11" s="508">
        <v>16</v>
      </c>
      <c r="G11" s="465">
        <v>5</v>
      </c>
      <c r="H11" s="465">
        <f t="shared" ref="H11:H35" si="2">G11-(G11*$G$10/100)</f>
        <v>5</v>
      </c>
      <c r="I11" s="465">
        <v>13.6</v>
      </c>
      <c r="J11" s="465">
        <f t="shared" ref="J11:J35" si="3">I11-(I11*$I$10/100)</f>
        <v>9.52</v>
      </c>
      <c r="K11" s="469">
        <v>2.2999999999999998</v>
      </c>
      <c r="L11" s="469">
        <v>1</v>
      </c>
      <c r="M11" s="469"/>
      <c r="N11" s="469"/>
      <c r="O11" s="469"/>
      <c r="P11" s="469"/>
      <c r="Q11" s="509">
        <v>0.3</v>
      </c>
      <c r="R11" s="510">
        <v>0.3</v>
      </c>
      <c r="S11" s="369"/>
      <c r="T11" s="511">
        <f t="shared" ref="T11:T42" si="4">T10+1</f>
        <v>51</v>
      </c>
      <c r="U11" s="496" t="s">
        <v>185</v>
      </c>
      <c r="V11" s="497">
        <v>24</v>
      </c>
      <c r="W11" s="497"/>
      <c r="X11" s="497"/>
      <c r="Y11" s="497"/>
      <c r="Z11" s="497">
        <v>6</v>
      </c>
      <c r="AA11" s="497">
        <v>-23</v>
      </c>
      <c r="AB11" s="512"/>
      <c r="AC11" s="369"/>
      <c r="AD11" s="501">
        <v>1</v>
      </c>
      <c r="AE11" s="502" t="s">
        <v>186</v>
      </c>
      <c r="AF11" s="503"/>
      <c r="AG11" s="513">
        <v>20</v>
      </c>
      <c r="AH11" s="513">
        <v>86</v>
      </c>
      <c r="AI11" s="504">
        <f t="shared" ref="AI11:AI35" si="5">IF(AJ11="","",IF(AH11="","",(AJ11*AH11)/100))</f>
        <v>5.16</v>
      </c>
      <c r="AJ11" s="504">
        <v>6</v>
      </c>
      <c r="AK11" s="504">
        <v>1</v>
      </c>
      <c r="AL11" s="514">
        <v>4</v>
      </c>
      <c r="AM11" s="515">
        <v>9</v>
      </c>
      <c r="AN11" s="515">
        <v>1</v>
      </c>
      <c r="AO11" s="369"/>
      <c r="AP11" s="516">
        <v>1</v>
      </c>
      <c r="AQ11" s="517" t="s">
        <v>187</v>
      </c>
      <c r="AR11" s="518"/>
      <c r="AS11" s="519">
        <v>4.0999999999999996</v>
      </c>
      <c r="AT11" s="520">
        <v>40</v>
      </c>
      <c r="AU11" s="521">
        <f t="shared" ref="AU11:AU20" si="6">IF(AT11="","",AS11*AT11)</f>
        <v>164</v>
      </c>
      <c r="AV11" s="369"/>
      <c r="AW11" s="495">
        <f t="shared" ref="AW11:AW51" si="7">AW10+1</f>
        <v>2</v>
      </c>
      <c r="AX11" s="496" t="s">
        <v>70</v>
      </c>
      <c r="AY11" s="522" t="s">
        <v>188</v>
      </c>
      <c r="AZ11" s="497">
        <v>86</v>
      </c>
      <c r="BA11" s="497" t="s">
        <v>189</v>
      </c>
      <c r="BB11" s="523">
        <v>1.81</v>
      </c>
      <c r="BC11" s="524">
        <v>0.8</v>
      </c>
      <c r="BD11" s="525">
        <v>0.35</v>
      </c>
      <c r="BE11" s="526">
        <v>2.5099999999999998</v>
      </c>
      <c r="BF11" s="493">
        <v>1.04</v>
      </c>
      <c r="BG11" s="493">
        <v>1.72</v>
      </c>
      <c r="BH11" s="494">
        <v>0.36</v>
      </c>
      <c r="BI11" s="369"/>
      <c r="BJ11" s="495">
        <v>2</v>
      </c>
      <c r="BK11" s="496" t="s">
        <v>190</v>
      </c>
      <c r="BL11" s="497">
        <v>22</v>
      </c>
      <c r="BM11" s="497">
        <v>60</v>
      </c>
      <c r="BN11" s="497">
        <v>0.7</v>
      </c>
      <c r="BO11" s="498">
        <v>1.33</v>
      </c>
      <c r="BP11" s="498">
        <v>0.4</v>
      </c>
      <c r="BQ11" s="498">
        <v>0.18</v>
      </c>
      <c r="BR11" s="369"/>
      <c r="BS11" s="495">
        <f t="shared" ref="BS11:BS16" si="8">BS10+1</f>
        <v>2</v>
      </c>
      <c r="BT11" s="496" t="s">
        <v>191</v>
      </c>
      <c r="BU11" s="499">
        <v>20</v>
      </c>
      <c r="BV11" s="499">
        <v>600</v>
      </c>
      <c r="BW11" s="500">
        <v>0.6</v>
      </c>
      <c r="BX11" s="500">
        <v>0.14000000000000001</v>
      </c>
      <c r="BY11" s="500">
        <v>0.65</v>
      </c>
      <c r="BZ11" s="369"/>
      <c r="CA11" s="527">
        <v>2</v>
      </c>
      <c r="CB11" s="528" t="s">
        <v>192</v>
      </c>
      <c r="CC11" s="529"/>
      <c r="CD11" s="530"/>
      <c r="CE11" s="530">
        <v>5.3</v>
      </c>
      <c r="CF11" s="530"/>
      <c r="CG11" s="530">
        <v>5.3</v>
      </c>
      <c r="CH11" s="530">
        <v>0.6</v>
      </c>
      <c r="CI11" s="369"/>
      <c r="CJ11" s="369"/>
      <c r="CN11" s="368" t="str">
        <f t="shared" si="0"/>
        <v>Kuhmilch 3,2 % RP</v>
      </c>
      <c r="CO11" s="505">
        <f t="shared" si="1"/>
        <v>1</v>
      </c>
      <c r="CP11" s="368" t="str">
        <f t="shared" ref="CP11:CP42" si="9">U10</f>
        <v>Kalkammonsalpeter</v>
      </c>
      <c r="CQ11" s="531">
        <f t="shared" ref="CQ11:CQ42" si="10">T10</f>
        <v>50</v>
      </c>
      <c r="CR11" s="368" t="str">
        <f t="shared" ref="CR11:CR42" si="11">AE11</f>
        <v>Rindermist (Milchkühe)</v>
      </c>
      <c r="CS11" s="532">
        <f t="shared" ref="CS11:CS42" si="12">AD11</f>
        <v>1</v>
      </c>
      <c r="CT11" s="368" t="str">
        <f t="shared" ref="CT11:CT34" si="13">AQ11</f>
        <v>Ackerbohnen</v>
      </c>
      <c r="CU11" s="505">
        <f t="shared" ref="CU11:CU34" si="14">AP11</f>
        <v>1</v>
      </c>
      <c r="CV11" s="368" t="str">
        <f t="shared" ref="CV11:CV42" si="15">AX10</f>
        <v>Getreide, Körnermais</v>
      </c>
      <c r="CW11" s="505">
        <f t="shared" ref="CW11:CW42" si="16">AW10</f>
        <v>1</v>
      </c>
      <c r="CX11" s="368" t="str">
        <f t="shared" ref="CX11:CX42" si="17">BK10</f>
        <v>Altbrot</v>
      </c>
      <c r="CY11" s="505">
        <f t="shared" ref="CY11:CY42" si="18">BJ10</f>
        <v>1</v>
      </c>
      <c r="CZ11" s="368" t="str">
        <f t="shared" ref="CZ11:CZ22" si="19">BT10</f>
        <v>Rotklee</v>
      </c>
      <c r="DA11" s="505">
        <f t="shared" ref="DA11:DA22" si="20">BS10</f>
        <v>1</v>
      </c>
      <c r="DB11" s="368" t="str">
        <f t="shared" ref="DB11:DB24" si="21">CB10</f>
        <v>Kalkklärschlamm (t)</v>
      </c>
      <c r="DC11" s="532">
        <f t="shared" ref="DC11:DC24" si="22">CA10</f>
        <v>1</v>
      </c>
    </row>
    <row r="12" spans="1:107" ht="18" customHeight="1" x14ac:dyDescent="0.2">
      <c r="A12" s="368"/>
      <c r="B12" s="369"/>
      <c r="C12" s="533">
        <f t="shared" ref="C12:C34" si="23">C11+1</f>
        <v>2</v>
      </c>
      <c r="D12" s="474" t="s">
        <v>193</v>
      </c>
      <c r="E12" s="534" t="s">
        <v>194</v>
      </c>
      <c r="F12" s="535">
        <v>16</v>
      </c>
      <c r="G12" s="465">
        <v>5.3</v>
      </c>
      <c r="H12" s="465">
        <f t="shared" si="2"/>
        <v>5.3</v>
      </c>
      <c r="I12" s="536">
        <v>11.1</v>
      </c>
      <c r="J12" s="465">
        <f t="shared" si="3"/>
        <v>7.77</v>
      </c>
      <c r="K12" s="469">
        <v>2.2999999999999998</v>
      </c>
      <c r="L12" s="469">
        <v>1</v>
      </c>
      <c r="M12" s="536"/>
      <c r="N12" s="536"/>
      <c r="O12" s="536"/>
      <c r="P12" s="536"/>
      <c r="Q12" s="537">
        <v>0.7</v>
      </c>
      <c r="R12" s="538">
        <v>0.3</v>
      </c>
      <c r="S12" s="369"/>
      <c r="T12" s="511">
        <f t="shared" si="4"/>
        <v>52</v>
      </c>
      <c r="U12" s="496" t="s">
        <v>195</v>
      </c>
      <c r="V12" s="497">
        <v>46</v>
      </c>
      <c r="W12" s="497"/>
      <c r="X12" s="497"/>
      <c r="Y12" s="497"/>
      <c r="Z12" s="497"/>
      <c r="AA12" s="497">
        <v>-46</v>
      </c>
      <c r="AB12" s="512"/>
      <c r="AC12" s="369"/>
      <c r="AD12" s="527">
        <f t="shared" ref="AD12:AD35" si="24">AD11+1</f>
        <v>2</v>
      </c>
      <c r="AE12" s="528" t="s">
        <v>196</v>
      </c>
      <c r="AF12" s="529"/>
      <c r="AG12" s="539">
        <v>20</v>
      </c>
      <c r="AH12" s="539">
        <v>86</v>
      </c>
      <c r="AI12" s="530">
        <f t="shared" si="5"/>
        <v>2.58</v>
      </c>
      <c r="AJ12" s="530">
        <v>3</v>
      </c>
      <c r="AK12" s="530">
        <v>1</v>
      </c>
      <c r="AL12" s="540">
        <v>3</v>
      </c>
      <c r="AM12" s="541">
        <v>9</v>
      </c>
      <c r="AN12" s="541">
        <v>2</v>
      </c>
      <c r="AO12" s="369"/>
      <c r="AP12" s="495">
        <v>2</v>
      </c>
      <c r="AQ12" s="528" t="s">
        <v>94</v>
      </c>
      <c r="AR12" s="529"/>
      <c r="AS12" s="500">
        <v>3.6</v>
      </c>
      <c r="AT12" s="542">
        <v>40</v>
      </c>
      <c r="AU12" s="521">
        <f t="shared" si="6"/>
        <v>144</v>
      </c>
      <c r="AV12" s="369"/>
      <c r="AW12" s="495">
        <f t="shared" si="7"/>
        <v>3</v>
      </c>
      <c r="AX12" s="496" t="str">
        <f t="shared" ref="AX12:AX19" si="25">CONCATENATE("Weizen ",AY12)</f>
        <v>Weizen Stroh (12 % RP2)</v>
      </c>
      <c r="AY12" s="522" t="s">
        <v>197</v>
      </c>
      <c r="AZ12" s="497">
        <v>86</v>
      </c>
      <c r="BA12" s="497" t="s">
        <v>189</v>
      </c>
      <c r="BB12" s="523">
        <v>0.5</v>
      </c>
      <c r="BC12" s="524">
        <v>0.3</v>
      </c>
      <c r="BD12" s="525">
        <v>0.13</v>
      </c>
      <c r="BE12" s="526">
        <v>2.81</v>
      </c>
      <c r="BF12" s="493">
        <v>1.04</v>
      </c>
      <c r="BG12" s="493">
        <v>1.72</v>
      </c>
      <c r="BH12" s="494">
        <v>0.36</v>
      </c>
      <c r="BI12" s="369"/>
      <c r="BJ12" s="495">
        <v>3</v>
      </c>
      <c r="BK12" s="496" t="s">
        <v>198</v>
      </c>
      <c r="BL12" s="497">
        <v>10</v>
      </c>
      <c r="BM12" s="497">
        <v>50</v>
      </c>
      <c r="BN12" s="497">
        <v>0.9</v>
      </c>
      <c r="BO12" s="498">
        <v>8.4</v>
      </c>
      <c r="BP12" s="498">
        <v>2.6</v>
      </c>
      <c r="BQ12" s="498">
        <v>1.1399999999999999</v>
      </c>
      <c r="BR12" s="369"/>
      <c r="BS12" s="495">
        <f t="shared" si="8"/>
        <v>3</v>
      </c>
      <c r="BT12" s="496" t="s">
        <v>199</v>
      </c>
      <c r="BU12" s="499">
        <v>20</v>
      </c>
      <c r="BV12" s="499">
        <v>650</v>
      </c>
      <c r="BW12" s="500">
        <v>0.53</v>
      </c>
      <c r="BX12" s="500">
        <v>0.14000000000000001</v>
      </c>
      <c r="BY12" s="500">
        <v>0.62</v>
      </c>
      <c r="BZ12" s="369"/>
      <c r="CA12" s="527">
        <v>3</v>
      </c>
      <c r="CB12" s="528" t="s">
        <v>200</v>
      </c>
      <c r="CC12" s="529"/>
      <c r="CD12" s="530"/>
      <c r="CE12" s="530">
        <v>15</v>
      </c>
      <c r="CF12" s="530"/>
      <c r="CG12" s="530">
        <v>14</v>
      </c>
      <c r="CH12" s="530">
        <v>2</v>
      </c>
      <c r="CI12" s="369"/>
      <c r="CJ12" s="369"/>
      <c r="CN12" s="368" t="str">
        <f t="shared" si="0"/>
        <v>Kuhmilch 3,4 % RP</v>
      </c>
      <c r="CO12" s="505">
        <f t="shared" si="1"/>
        <v>2</v>
      </c>
      <c r="CP12" s="368" t="str">
        <f t="shared" si="9"/>
        <v>Hydro Sulfan, N-Plus, Dynamon S</v>
      </c>
      <c r="CQ12" s="531">
        <f t="shared" si="10"/>
        <v>51</v>
      </c>
      <c r="CR12" s="368" t="str">
        <f t="shared" si="11"/>
        <v>Kälbermist</v>
      </c>
      <c r="CS12" s="532">
        <f t="shared" si="12"/>
        <v>2</v>
      </c>
      <c r="CT12" s="368" t="str">
        <f t="shared" si="13"/>
        <v>Körnererbsen</v>
      </c>
      <c r="CU12" s="505">
        <f t="shared" si="14"/>
        <v>2</v>
      </c>
      <c r="CV12" s="368" t="str">
        <f t="shared" si="15"/>
        <v>Weizen Korn (12% RP2)</v>
      </c>
      <c r="CW12" s="505">
        <f t="shared" si="16"/>
        <v>2</v>
      </c>
      <c r="CX12" s="368" t="str">
        <f t="shared" si="17"/>
        <v>Apfeltrester 1</v>
      </c>
      <c r="CY12" s="505">
        <f t="shared" si="18"/>
        <v>2</v>
      </c>
      <c r="CZ12" s="368" t="str">
        <f t="shared" si="19"/>
        <v>Luzerne</v>
      </c>
      <c r="DA12" s="505">
        <f t="shared" si="20"/>
        <v>2</v>
      </c>
      <c r="DB12" s="368" t="str">
        <f t="shared" si="21"/>
        <v>Nassklärschlamm (m³)</v>
      </c>
      <c r="DC12" s="532">
        <f t="shared" si="22"/>
        <v>2</v>
      </c>
    </row>
    <row r="13" spans="1:107" ht="18" customHeight="1" x14ac:dyDescent="0.2">
      <c r="A13" s="368"/>
      <c r="B13" s="369"/>
      <c r="C13" s="533">
        <f t="shared" si="23"/>
        <v>3</v>
      </c>
      <c r="D13" s="496" t="s">
        <v>201</v>
      </c>
      <c r="E13" s="534" t="s">
        <v>202</v>
      </c>
      <c r="F13" s="535">
        <v>49.1</v>
      </c>
      <c r="G13" s="536">
        <v>5.6</v>
      </c>
      <c r="H13" s="465">
        <f t="shared" si="2"/>
        <v>5.6</v>
      </c>
      <c r="I13" s="536">
        <v>27.1</v>
      </c>
      <c r="J13" s="465">
        <f t="shared" si="3"/>
        <v>18.97</v>
      </c>
      <c r="K13" s="536">
        <v>2.2999999999999998</v>
      </c>
      <c r="L13" s="536">
        <v>1</v>
      </c>
      <c r="M13" s="536"/>
      <c r="N13" s="536"/>
      <c r="O13" s="536"/>
      <c r="P13" s="536"/>
      <c r="Q13" s="537">
        <v>1</v>
      </c>
      <c r="R13" s="538">
        <v>1</v>
      </c>
      <c r="S13" s="369"/>
      <c r="T13" s="511">
        <f t="shared" si="4"/>
        <v>53</v>
      </c>
      <c r="U13" s="496" t="s">
        <v>203</v>
      </c>
      <c r="V13" s="497">
        <v>33</v>
      </c>
      <c r="W13" s="497"/>
      <c r="X13" s="497"/>
      <c r="Y13" s="497"/>
      <c r="Z13" s="497">
        <v>12</v>
      </c>
      <c r="AA13" s="497">
        <v>-55</v>
      </c>
      <c r="AB13" s="512"/>
      <c r="AC13" s="369"/>
      <c r="AD13" s="527">
        <f t="shared" si="24"/>
        <v>3</v>
      </c>
      <c r="AE13" s="528" t="s">
        <v>204</v>
      </c>
      <c r="AF13" s="529"/>
      <c r="AG13" s="539">
        <v>20</v>
      </c>
      <c r="AH13" s="539">
        <v>86</v>
      </c>
      <c r="AI13" s="530">
        <f t="shared" si="5"/>
        <v>4.3</v>
      </c>
      <c r="AJ13" s="530">
        <v>5</v>
      </c>
      <c r="AK13" s="530">
        <v>1</v>
      </c>
      <c r="AL13" s="540">
        <v>4</v>
      </c>
      <c r="AM13" s="541">
        <v>6</v>
      </c>
      <c r="AN13" s="541">
        <v>2</v>
      </c>
      <c r="AO13" s="369"/>
      <c r="AP13" s="495">
        <v>3</v>
      </c>
      <c r="AQ13" s="528" t="s">
        <v>95</v>
      </c>
      <c r="AR13" s="529"/>
      <c r="AS13" s="500">
        <v>1</v>
      </c>
      <c r="AT13" s="542">
        <v>120</v>
      </c>
      <c r="AU13" s="521">
        <f t="shared" si="6"/>
        <v>120</v>
      </c>
      <c r="AV13" s="369"/>
      <c r="AW13" s="495">
        <f t="shared" si="7"/>
        <v>4</v>
      </c>
      <c r="AX13" s="496" t="str">
        <f t="shared" si="25"/>
        <v>Weizen Korn (12% RP) + Stroh3</v>
      </c>
      <c r="AY13" s="522" t="s">
        <v>205</v>
      </c>
      <c r="AZ13" s="497" t="s">
        <v>189</v>
      </c>
      <c r="BA13" s="497" t="s">
        <v>206</v>
      </c>
      <c r="BB13" s="523">
        <v>2.21</v>
      </c>
      <c r="BC13" s="524">
        <v>1.04</v>
      </c>
      <c r="BD13" s="525">
        <v>0.45</v>
      </c>
      <c r="BE13" s="526">
        <v>2</v>
      </c>
      <c r="BF13" s="493">
        <v>1.01</v>
      </c>
      <c r="BG13" s="493">
        <v>1.79</v>
      </c>
      <c r="BH13" s="494">
        <v>0.27</v>
      </c>
      <c r="BI13" s="369"/>
      <c r="BJ13" s="495">
        <v>4</v>
      </c>
      <c r="BK13" s="496" t="s">
        <v>207</v>
      </c>
      <c r="BL13" s="497">
        <v>25</v>
      </c>
      <c r="BM13" s="497">
        <v>60</v>
      </c>
      <c r="BN13" s="497">
        <v>0.9</v>
      </c>
      <c r="BO13" s="498">
        <v>4</v>
      </c>
      <c r="BP13" s="498">
        <v>1.37</v>
      </c>
      <c r="BQ13" s="498">
        <v>0.6</v>
      </c>
      <c r="BR13" s="369"/>
      <c r="BS13" s="495">
        <f t="shared" si="8"/>
        <v>4</v>
      </c>
      <c r="BT13" s="496" t="s">
        <v>208</v>
      </c>
      <c r="BU13" s="499">
        <v>20</v>
      </c>
      <c r="BV13" s="499">
        <v>650</v>
      </c>
      <c r="BW13" s="500">
        <v>0.55000000000000004</v>
      </c>
      <c r="BX13" s="500">
        <v>0.15</v>
      </c>
      <c r="BY13" s="500">
        <v>0.65</v>
      </c>
      <c r="BZ13" s="369"/>
      <c r="CA13" s="527">
        <v>4</v>
      </c>
      <c r="CB13" s="528" t="s">
        <v>79</v>
      </c>
      <c r="CC13" s="529"/>
      <c r="CD13" s="530"/>
      <c r="CE13" s="530">
        <v>7</v>
      </c>
      <c r="CF13" s="530"/>
      <c r="CG13" s="530">
        <v>4</v>
      </c>
      <c r="CH13" s="530">
        <v>6</v>
      </c>
      <c r="CI13" s="369"/>
      <c r="CJ13" s="369"/>
      <c r="CN13" s="368" t="str">
        <f t="shared" si="0"/>
        <v>Kuhmilch 3,6 % RP</v>
      </c>
      <c r="CO13" s="505">
        <f t="shared" si="1"/>
        <v>3</v>
      </c>
      <c r="CP13" s="368" t="str">
        <f t="shared" si="9"/>
        <v>Harnstoff</v>
      </c>
      <c r="CQ13" s="531">
        <f t="shared" si="10"/>
        <v>52</v>
      </c>
      <c r="CR13" s="368" t="str">
        <f t="shared" si="11"/>
        <v>Bullenmist</v>
      </c>
      <c r="CS13" s="532">
        <f t="shared" si="12"/>
        <v>3</v>
      </c>
      <c r="CT13" s="368" t="str">
        <f t="shared" si="13"/>
        <v>Buschbohnen</v>
      </c>
      <c r="CU13" s="505">
        <f t="shared" si="14"/>
        <v>3</v>
      </c>
      <c r="CV13" s="368" t="str">
        <f t="shared" si="15"/>
        <v>Weizen Stroh (12 % RP2)</v>
      </c>
      <c r="CW13" s="505">
        <f t="shared" si="16"/>
        <v>3</v>
      </c>
      <c r="CX13" s="368" t="str">
        <f t="shared" si="17"/>
        <v>Bierhefe, flüssig 1</v>
      </c>
      <c r="CY13" s="505">
        <f t="shared" si="18"/>
        <v>3</v>
      </c>
      <c r="CZ13" s="368" t="str">
        <f t="shared" si="19"/>
        <v>Kleegras (Klee:Gras 70:30)</v>
      </c>
      <c r="DA13" s="505">
        <f t="shared" si="20"/>
        <v>3</v>
      </c>
      <c r="DB13" s="368" t="str">
        <f t="shared" si="21"/>
        <v>Trockenklärschlamm (t)</v>
      </c>
      <c r="DC13" s="532">
        <f t="shared" si="22"/>
        <v>3</v>
      </c>
    </row>
    <row r="14" spans="1:107" ht="18" customHeight="1" x14ac:dyDescent="0.2">
      <c r="A14" s="368"/>
      <c r="B14" s="369"/>
      <c r="C14" s="533">
        <f t="shared" si="23"/>
        <v>4</v>
      </c>
      <c r="D14" s="496" t="s">
        <v>209</v>
      </c>
      <c r="E14" s="534" t="s">
        <v>210</v>
      </c>
      <c r="F14" s="535">
        <v>55.4</v>
      </c>
      <c r="G14" s="536">
        <v>3.5</v>
      </c>
      <c r="H14" s="465">
        <f t="shared" si="2"/>
        <v>3.5</v>
      </c>
      <c r="I14" s="536">
        <v>32.9</v>
      </c>
      <c r="J14" s="465">
        <f t="shared" si="3"/>
        <v>23.03</v>
      </c>
      <c r="K14" s="536">
        <v>1.4</v>
      </c>
      <c r="L14" s="536">
        <v>0.6</v>
      </c>
      <c r="M14" s="536"/>
      <c r="N14" s="536"/>
      <c r="O14" s="536"/>
      <c r="P14" s="536"/>
      <c r="Q14" s="537">
        <v>1</v>
      </c>
      <c r="R14" s="538">
        <v>1</v>
      </c>
      <c r="S14" s="369"/>
      <c r="T14" s="511">
        <f t="shared" si="4"/>
        <v>54</v>
      </c>
      <c r="U14" s="496" t="s">
        <v>211</v>
      </c>
      <c r="V14" s="497">
        <v>38</v>
      </c>
      <c r="W14" s="497"/>
      <c r="X14" s="497"/>
      <c r="Y14" s="497"/>
      <c r="Z14" s="497">
        <v>7.5</v>
      </c>
      <c r="AA14" s="497">
        <v>-51</v>
      </c>
      <c r="AB14" s="512"/>
      <c r="AC14" s="369"/>
      <c r="AD14" s="527">
        <f t="shared" si="24"/>
        <v>4</v>
      </c>
      <c r="AE14" s="528" t="s">
        <v>212</v>
      </c>
      <c r="AF14" s="529"/>
      <c r="AG14" s="539">
        <v>20</v>
      </c>
      <c r="AH14" s="539">
        <v>86</v>
      </c>
      <c r="AI14" s="530">
        <f t="shared" si="5"/>
        <v>4.3</v>
      </c>
      <c r="AJ14" s="530">
        <v>5</v>
      </c>
      <c r="AK14" s="530">
        <v>1</v>
      </c>
      <c r="AL14" s="540">
        <v>3</v>
      </c>
      <c r="AM14" s="541">
        <v>10</v>
      </c>
      <c r="AN14" s="541">
        <v>1</v>
      </c>
      <c r="AO14" s="369"/>
      <c r="AP14" s="495">
        <v>4</v>
      </c>
      <c r="AQ14" s="528" t="s">
        <v>213</v>
      </c>
      <c r="AR14" s="529"/>
      <c r="AS14" s="500">
        <v>1.5</v>
      </c>
      <c r="AT14" s="542">
        <v>60</v>
      </c>
      <c r="AU14" s="521">
        <f t="shared" si="6"/>
        <v>90</v>
      </c>
      <c r="AV14" s="369"/>
      <c r="AW14" s="495">
        <f t="shared" si="7"/>
        <v>5</v>
      </c>
      <c r="AX14" s="496" t="str">
        <f t="shared" si="25"/>
        <v>Weizen Korn (14 % RP2)</v>
      </c>
      <c r="AY14" s="522" t="s">
        <v>214</v>
      </c>
      <c r="AZ14" s="497">
        <v>86</v>
      </c>
      <c r="BA14" s="497" t="s">
        <v>189</v>
      </c>
      <c r="BB14" s="523">
        <v>2.11</v>
      </c>
      <c r="BC14" s="524">
        <v>0.8</v>
      </c>
      <c r="BD14" s="525">
        <v>0.35</v>
      </c>
      <c r="BE14" s="526">
        <v>2.14</v>
      </c>
      <c r="BF14" s="493">
        <v>1.01</v>
      </c>
      <c r="BG14" s="493">
        <v>1.79</v>
      </c>
      <c r="BH14" s="494">
        <v>0.27</v>
      </c>
      <c r="BI14" s="369"/>
      <c r="BJ14" s="495">
        <v>5</v>
      </c>
      <c r="BK14" s="496" t="s">
        <v>215</v>
      </c>
      <c r="BL14" s="497">
        <v>60</v>
      </c>
      <c r="BM14" s="497">
        <v>45</v>
      </c>
      <c r="BN14" s="497">
        <v>0.8</v>
      </c>
      <c r="BO14" s="498">
        <v>1.68</v>
      </c>
      <c r="BP14" s="498">
        <v>0.68</v>
      </c>
      <c r="BQ14" s="498">
        <v>0.3</v>
      </c>
      <c r="BR14" s="369"/>
      <c r="BS14" s="495">
        <f t="shared" si="8"/>
        <v>5</v>
      </c>
      <c r="BT14" s="496" t="s">
        <v>89</v>
      </c>
      <c r="BU14" s="499">
        <v>20</v>
      </c>
      <c r="BV14" s="499">
        <v>850</v>
      </c>
      <c r="BW14" s="500">
        <v>0.48</v>
      </c>
      <c r="BX14" s="500">
        <v>0.16</v>
      </c>
      <c r="BY14" s="500">
        <v>0.65</v>
      </c>
      <c r="BZ14" s="369"/>
      <c r="CA14" s="527">
        <v>5</v>
      </c>
      <c r="CB14" s="528" t="s">
        <v>216</v>
      </c>
      <c r="CC14" s="529"/>
      <c r="CD14" s="530"/>
      <c r="CE14" s="530">
        <v>25</v>
      </c>
      <c r="CF14" s="530"/>
      <c r="CG14" s="530">
        <v>4.9000000000000004</v>
      </c>
      <c r="CH14" s="530">
        <v>2.2999999999999998</v>
      </c>
      <c r="CI14" s="369"/>
      <c r="CJ14" s="369"/>
      <c r="CN14" s="368" t="str">
        <f t="shared" si="0"/>
        <v>Stutenmilch</v>
      </c>
      <c r="CO14" s="505">
        <f t="shared" si="1"/>
        <v>4</v>
      </c>
      <c r="CP14" s="368" t="str">
        <f t="shared" si="9"/>
        <v>Piamon 33-S</v>
      </c>
      <c r="CQ14" s="531">
        <f t="shared" si="10"/>
        <v>53</v>
      </c>
      <c r="CR14" s="368" t="str">
        <f t="shared" si="11"/>
        <v>Färsenmist</v>
      </c>
      <c r="CS14" s="532">
        <f t="shared" si="12"/>
        <v>4</v>
      </c>
      <c r="CT14" s="368" t="str">
        <f t="shared" si="13"/>
        <v>Erbsen (Gemüse)</v>
      </c>
      <c r="CU14" s="505">
        <f t="shared" si="14"/>
        <v>4</v>
      </c>
      <c r="CV14" s="368" t="str">
        <f t="shared" si="15"/>
        <v>Weizen Korn (12% RP) + Stroh3</v>
      </c>
      <c r="CW14" s="505">
        <f t="shared" si="16"/>
        <v>4</v>
      </c>
      <c r="CX14" s="368" t="str">
        <f t="shared" si="17"/>
        <v>Biertreber, siliert</v>
      </c>
      <c r="CY14" s="505">
        <f t="shared" si="18"/>
        <v>4</v>
      </c>
      <c r="CZ14" s="368" t="str">
        <f t="shared" si="19"/>
        <v>Luzernegras (Luzerne:Gras 70:30)</v>
      </c>
      <c r="DA14" s="505">
        <f t="shared" si="20"/>
        <v>4</v>
      </c>
      <c r="DB14" s="368" t="str">
        <f t="shared" si="21"/>
        <v>Biokompost (t)</v>
      </c>
      <c r="DC14" s="532">
        <f t="shared" si="22"/>
        <v>4</v>
      </c>
    </row>
    <row r="15" spans="1:107" ht="18" customHeight="1" x14ac:dyDescent="0.2">
      <c r="A15" s="368"/>
      <c r="B15" s="369"/>
      <c r="C15" s="533">
        <f t="shared" si="23"/>
        <v>5</v>
      </c>
      <c r="D15" s="496" t="s">
        <v>217</v>
      </c>
      <c r="E15" s="534" t="s">
        <v>218</v>
      </c>
      <c r="F15" s="535">
        <v>30.2</v>
      </c>
      <c r="G15" s="536">
        <v>1.19</v>
      </c>
      <c r="H15" s="465">
        <f t="shared" si="2"/>
        <v>1.19</v>
      </c>
      <c r="I15" s="536">
        <v>31.1</v>
      </c>
      <c r="J15" s="465">
        <f t="shared" si="3"/>
        <v>21.770000000000003</v>
      </c>
      <c r="K15" s="536">
        <v>0.26</v>
      </c>
      <c r="L15" s="536">
        <v>0.11</v>
      </c>
      <c r="M15" s="536"/>
      <c r="N15" s="536"/>
      <c r="O15" s="536"/>
      <c r="P15" s="536"/>
      <c r="Q15" s="537">
        <v>1</v>
      </c>
      <c r="R15" s="538">
        <v>1</v>
      </c>
      <c r="S15" s="369"/>
      <c r="T15" s="511">
        <f t="shared" si="4"/>
        <v>55</v>
      </c>
      <c r="U15" s="496" t="s">
        <v>219</v>
      </c>
      <c r="V15" s="497">
        <v>47</v>
      </c>
      <c r="W15" s="497"/>
      <c r="X15" s="497"/>
      <c r="Y15" s="497"/>
      <c r="Z15" s="497"/>
      <c r="AA15" s="497">
        <v>-47</v>
      </c>
      <c r="AB15" s="512">
        <v>32.700000000000003</v>
      </c>
      <c r="AC15" s="369"/>
      <c r="AD15" s="527">
        <f t="shared" si="24"/>
        <v>5</v>
      </c>
      <c r="AE15" s="528" t="s">
        <v>220</v>
      </c>
      <c r="AF15" s="529"/>
      <c r="AG15" s="539">
        <v>25</v>
      </c>
      <c r="AH15" s="539">
        <v>85</v>
      </c>
      <c r="AI15" s="530">
        <f t="shared" si="5"/>
        <v>5.95</v>
      </c>
      <c r="AJ15" s="530">
        <v>7</v>
      </c>
      <c r="AK15" s="530">
        <v>1</v>
      </c>
      <c r="AL15" s="540">
        <v>7</v>
      </c>
      <c r="AM15" s="541">
        <v>7</v>
      </c>
      <c r="AN15" s="541">
        <v>2</v>
      </c>
      <c r="AO15" s="369"/>
      <c r="AP15" s="495">
        <v>5</v>
      </c>
      <c r="AQ15" s="528" t="s">
        <v>221</v>
      </c>
      <c r="AR15" s="529"/>
      <c r="AS15" s="500">
        <v>0.27</v>
      </c>
      <c r="AT15" s="542">
        <v>400</v>
      </c>
      <c r="AU15" s="521">
        <f t="shared" si="6"/>
        <v>108</v>
      </c>
      <c r="AV15" s="369"/>
      <c r="AW15" s="495">
        <f t="shared" si="7"/>
        <v>6</v>
      </c>
      <c r="AX15" s="496" t="str">
        <f t="shared" si="25"/>
        <v>Weizen Stroh (14 % RP2)</v>
      </c>
      <c r="AY15" s="522" t="s">
        <v>222</v>
      </c>
      <c r="AZ15" s="497">
        <v>86</v>
      </c>
      <c r="BA15" s="497" t="s">
        <v>189</v>
      </c>
      <c r="BB15" s="523">
        <v>0.5</v>
      </c>
      <c r="BC15" s="524">
        <v>0.3</v>
      </c>
      <c r="BD15" s="525">
        <v>0.13</v>
      </c>
      <c r="BE15" s="526">
        <v>1.96</v>
      </c>
      <c r="BF15" s="493">
        <v>1.07</v>
      </c>
      <c r="BG15" s="493">
        <v>2.4</v>
      </c>
      <c r="BH15" s="494">
        <v>0.28000000000000003</v>
      </c>
      <c r="BI15" s="369"/>
      <c r="BJ15" s="495">
        <v>6</v>
      </c>
      <c r="BK15" s="496" t="s">
        <v>223</v>
      </c>
      <c r="BL15" s="497">
        <v>91</v>
      </c>
      <c r="BM15" s="497">
        <v>50</v>
      </c>
      <c r="BN15" s="497">
        <v>1.1000000000000001</v>
      </c>
      <c r="BO15" s="498">
        <v>10.08</v>
      </c>
      <c r="BP15" s="498">
        <v>7.56</v>
      </c>
      <c r="BQ15" s="498">
        <v>3.33</v>
      </c>
      <c r="BR15" s="369"/>
      <c r="BS15" s="495">
        <f t="shared" si="8"/>
        <v>6</v>
      </c>
      <c r="BT15" s="496" t="s">
        <v>224</v>
      </c>
      <c r="BU15" s="499">
        <v>16</v>
      </c>
      <c r="BV15" s="499">
        <v>250</v>
      </c>
      <c r="BW15" s="500">
        <v>0.35</v>
      </c>
      <c r="BX15" s="500">
        <v>0.11</v>
      </c>
      <c r="BY15" s="500">
        <v>0.45</v>
      </c>
      <c r="BZ15" s="369"/>
      <c r="CA15" s="527">
        <v>6</v>
      </c>
      <c r="CB15" s="528" t="s">
        <v>225</v>
      </c>
      <c r="CC15" s="529"/>
      <c r="CD15" s="530"/>
      <c r="CE15" s="530">
        <v>6</v>
      </c>
      <c r="CF15" s="530"/>
      <c r="CG15" s="530">
        <v>3</v>
      </c>
      <c r="CH15" s="530">
        <v>4</v>
      </c>
      <c r="CI15" s="369"/>
      <c r="CJ15" s="369"/>
      <c r="CN15" s="368" t="str">
        <f t="shared" si="0"/>
        <v>Hühnerei 1 000 Stück (a 62,5 g)</v>
      </c>
      <c r="CO15" s="505">
        <f t="shared" si="1"/>
        <v>5</v>
      </c>
      <c r="CP15" s="368" t="str">
        <f t="shared" si="9"/>
        <v>Ureas</v>
      </c>
      <c r="CQ15" s="531">
        <f t="shared" si="10"/>
        <v>54</v>
      </c>
      <c r="CR15" s="368" t="str">
        <f t="shared" si="11"/>
        <v>Sauenmist; Ferkel 8 kg</v>
      </c>
      <c r="CS15" s="532">
        <f t="shared" si="12"/>
        <v>5</v>
      </c>
      <c r="CT15" s="368" t="str">
        <f t="shared" si="13"/>
        <v>Kleegras (50:50)</v>
      </c>
      <c r="CU15" s="505">
        <f t="shared" si="14"/>
        <v>5</v>
      </c>
      <c r="CV15" s="368" t="str">
        <f t="shared" si="15"/>
        <v>Weizen Korn (14 % RP2)</v>
      </c>
      <c r="CW15" s="505">
        <f t="shared" si="16"/>
        <v>5</v>
      </c>
      <c r="CX15" s="368" t="str">
        <f t="shared" si="17"/>
        <v>CCM2</v>
      </c>
      <c r="CY15" s="505">
        <f t="shared" si="18"/>
        <v>5</v>
      </c>
      <c r="CZ15" s="368" t="str">
        <f t="shared" si="19"/>
        <v>Ackergras</v>
      </c>
      <c r="DA15" s="505">
        <f t="shared" si="20"/>
        <v>5</v>
      </c>
      <c r="DB15" s="368" t="str">
        <f t="shared" si="21"/>
        <v>Dungkompost (t)</v>
      </c>
      <c r="DC15" s="532">
        <f t="shared" si="22"/>
        <v>5</v>
      </c>
    </row>
    <row r="16" spans="1:107" ht="18" customHeight="1" x14ac:dyDescent="0.2">
      <c r="A16" s="368"/>
      <c r="B16" s="369"/>
      <c r="C16" s="533">
        <f t="shared" si="23"/>
        <v>6</v>
      </c>
      <c r="D16" s="496" t="s">
        <v>226</v>
      </c>
      <c r="E16" s="534" t="s">
        <v>227</v>
      </c>
      <c r="F16" s="535">
        <v>28.9</v>
      </c>
      <c r="G16" s="536">
        <v>128</v>
      </c>
      <c r="H16" s="465">
        <f t="shared" si="2"/>
        <v>128</v>
      </c>
      <c r="I16" s="536">
        <v>33.1</v>
      </c>
      <c r="J16" s="465">
        <f t="shared" si="3"/>
        <v>23.17</v>
      </c>
      <c r="K16" s="536">
        <v>0.9</v>
      </c>
      <c r="L16" s="536">
        <v>0.4</v>
      </c>
      <c r="M16" s="536"/>
      <c r="N16" s="536"/>
      <c r="O16" s="536"/>
      <c r="P16" s="536"/>
      <c r="Q16" s="537">
        <v>1</v>
      </c>
      <c r="R16" s="538">
        <v>1</v>
      </c>
      <c r="S16" s="369"/>
      <c r="T16" s="511">
        <f t="shared" si="4"/>
        <v>56</v>
      </c>
      <c r="U16" s="496" t="s">
        <v>228</v>
      </c>
      <c r="V16" s="497">
        <v>28</v>
      </c>
      <c r="W16" s="497"/>
      <c r="X16" s="497"/>
      <c r="Y16" s="497"/>
      <c r="Z16" s="497"/>
      <c r="AA16" s="497">
        <v>-28</v>
      </c>
      <c r="AB16" s="512"/>
      <c r="AC16" s="369"/>
      <c r="AD16" s="527">
        <f t="shared" si="24"/>
        <v>6</v>
      </c>
      <c r="AE16" s="528" t="s">
        <v>229</v>
      </c>
      <c r="AF16" s="529"/>
      <c r="AG16" s="539">
        <v>25</v>
      </c>
      <c r="AH16" s="539">
        <v>85</v>
      </c>
      <c r="AI16" s="530">
        <f t="shared" si="5"/>
        <v>0</v>
      </c>
      <c r="AJ16" s="530">
        <f>IF(I41="",0,IF(O41="",0,I41/O41))</f>
        <v>0</v>
      </c>
      <c r="AK16" s="530">
        <v>1</v>
      </c>
      <c r="AL16" s="540">
        <f>IF(K41="",0,IF(O41="",0,K41/O41))</f>
        <v>0</v>
      </c>
      <c r="AM16" s="541">
        <f>IF(M41="",0,IF(O41="",0,M41/O41))</f>
        <v>0</v>
      </c>
      <c r="AN16" s="541">
        <v>2</v>
      </c>
      <c r="AO16" s="369"/>
      <c r="AP16" s="495">
        <v>6</v>
      </c>
      <c r="AQ16" s="528" t="s">
        <v>230</v>
      </c>
      <c r="AR16" s="529"/>
      <c r="AS16" s="500">
        <v>0.34</v>
      </c>
      <c r="AT16" s="542">
        <v>400</v>
      </c>
      <c r="AU16" s="521">
        <f t="shared" si="6"/>
        <v>136</v>
      </c>
      <c r="AV16" s="369"/>
      <c r="AW16" s="495">
        <f t="shared" si="7"/>
        <v>7</v>
      </c>
      <c r="AX16" s="496" t="str">
        <f t="shared" si="25"/>
        <v>Weizen Korn + Stroh3 (124 % RP2)</v>
      </c>
      <c r="AY16" s="522" t="s">
        <v>231</v>
      </c>
      <c r="AZ16" s="497" t="s">
        <v>189</v>
      </c>
      <c r="BA16" s="497">
        <v>0.8</v>
      </c>
      <c r="BB16" s="523">
        <v>2.5099999999999998</v>
      </c>
      <c r="BC16" s="524">
        <v>1.04</v>
      </c>
      <c r="BD16" s="525">
        <v>0.45</v>
      </c>
      <c r="BE16" s="526">
        <v>2.1</v>
      </c>
      <c r="BF16" s="493">
        <v>1.07</v>
      </c>
      <c r="BG16" s="493">
        <v>2.4</v>
      </c>
      <c r="BH16" s="494">
        <v>0.28000000000000003</v>
      </c>
      <c r="BI16" s="369"/>
      <c r="BJ16" s="495">
        <v>7</v>
      </c>
      <c r="BK16" s="496" t="s">
        <v>232</v>
      </c>
      <c r="BL16" s="497">
        <v>35</v>
      </c>
      <c r="BM16" s="497">
        <v>18</v>
      </c>
      <c r="BN16" s="497">
        <v>1.2</v>
      </c>
      <c r="BO16" s="498">
        <v>1.6</v>
      </c>
      <c r="BP16" s="498">
        <v>0.66</v>
      </c>
      <c r="BQ16" s="498">
        <v>0.28999999999999998</v>
      </c>
      <c r="BR16" s="369"/>
      <c r="BS16" s="495">
        <f t="shared" si="8"/>
        <v>7</v>
      </c>
      <c r="BT16" s="496" t="s">
        <v>233</v>
      </c>
      <c r="BU16" s="499">
        <v>86</v>
      </c>
      <c r="BV16" s="499">
        <v>8</v>
      </c>
      <c r="BW16" s="500">
        <v>14.2</v>
      </c>
      <c r="BX16" s="500">
        <v>3.85</v>
      </c>
      <c r="BY16" s="500">
        <v>13.3</v>
      </c>
      <c r="BZ16" s="369"/>
      <c r="CA16" s="527">
        <v>7</v>
      </c>
      <c r="CB16" s="528" t="s">
        <v>234</v>
      </c>
      <c r="CC16" s="529"/>
      <c r="CD16" s="530">
        <v>5</v>
      </c>
      <c r="CE16" s="530">
        <v>2.7</v>
      </c>
      <c r="CF16" s="530">
        <v>1.1000000000000001</v>
      </c>
      <c r="CG16" s="530">
        <v>2.5</v>
      </c>
      <c r="CH16" s="530">
        <v>0.3</v>
      </c>
      <c r="CI16" s="369"/>
      <c r="CJ16" s="369"/>
      <c r="CN16" s="368" t="str">
        <f t="shared" si="0"/>
        <v>Schafwolle</v>
      </c>
      <c r="CO16" s="505">
        <f t="shared" si="1"/>
        <v>6</v>
      </c>
      <c r="CP16" s="368" t="str">
        <f t="shared" si="9"/>
        <v>Alzon 47</v>
      </c>
      <c r="CQ16" s="531">
        <f t="shared" si="10"/>
        <v>55</v>
      </c>
      <c r="CR16" s="368" t="str">
        <f t="shared" si="11"/>
        <v>Sauenmist; Ferkel 28 kg</v>
      </c>
      <c r="CS16" s="532">
        <f t="shared" si="12"/>
        <v>6</v>
      </c>
      <c r="CT16" s="368" t="str">
        <f t="shared" si="13"/>
        <v>Kleegras (70:30)</v>
      </c>
      <c r="CU16" s="505">
        <f t="shared" si="14"/>
        <v>6</v>
      </c>
      <c r="CV16" s="368" t="str">
        <f t="shared" si="15"/>
        <v>Weizen Stroh (14 % RP2)</v>
      </c>
      <c r="CW16" s="505">
        <f t="shared" si="16"/>
        <v>6</v>
      </c>
      <c r="CX16" s="368" t="str">
        <f t="shared" si="17"/>
        <v>Fischmehl</v>
      </c>
      <c r="CY16" s="505">
        <f t="shared" si="18"/>
        <v>6</v>
      </c>
      <c r="CZ16" s="368" t="str">
        <f t="shared" si="19"/>
        <v>Futterzwischenfrüchte</v>
      </c>
      <c r="DA16" s="505">
        <f t="shared" si="20"/>
        <v>6</v>
      </c>
      <c r="DB16" s="368" t="str">
        <f t="shared" si="21"/>
        <v>Grünkompost (t)</v>
      </c>
      <c r="DC16" s="532">
        <f t="shared" si="22"/>
        <v>6</v>
      </c>
    </row>
    <row r="17" spans="1:107" ht="18" customHeight="1" x14ac:dyDescent="0.2">
      <c r="A17" s="368"/>
      <c r="B17" s="369"/>
      <c r="C17" s="533">
        <f t="shared" si="23"/>
        <v>7</v>
      </c>
      <c r="D17" s="496"/>
      <c r="E17" s="534" t="s">
        <v>235</v>
      </c>
      <c r="F17" s="535">
        <v>39.6</v>
      </c>
      <c r="G17" s="536"/>
      <c r="H17" s="465">
        <f t="shared" si="2"/>
        <v>0</v>
      </c>
      <c r="I17" s="536">
        <v>24.7</v>
      </c>
      <c r="J17" s="465">
        <f t="shared" si="3"/>
        <v>17.29</v>
      </c>
      <c r="K17" s="536"/>
      <c r="L17" s="536"/>
      <c r="M17" s="536"/>
      <c r="N17" s="536"/>
      <c r="O17" s="536"/>
      <c r="P17" s="536"/>
      <c r="Q17" s="537">
        <v>1</v>
      </c>
      <c r="R17" s="538">
        <v>1</v>
      </c>
      <c r="S17" s="369"/>
      <c r="T17" s="511">
        <f t="shared" si="4"/>
        <v>57</v>
      </c>
      <c r="U17" s="496" t="s">
        <v>236</v>
      </c>
      <c r="V17" s="497">
        <v>24</v>
      </c>
      <c r="W17" s="497"/>
      <c r="X17" s="497"/>
      <c r="Y17" s="497"/>
      <c r="Z17" s="497">
        <v>3</v>
      </c>
      <c r="AA17" s="497">
        <v>-29</v>
      </c>
      <c r="AB17" s="512"/>
      <c r="AC17" s="369"/>
      <c r="AD17" s="527">
        <f t="shared" si="24"/>
        <v>7</v>
      </c>
      <c r="AE17" s="528" t="s">
        <v>237</v>
      </c>
      <c r="AF17" s="529"/>
      <c r="AG17" s="539">
        <v>25</v>
      </c>
      <c r="AH17" s="539">
        <v>85</v>
      </c>
      <c r="AI17" s="530">
        <f t="shared" si="5"/>
        <v>0</v>
      </c>
      <c r="AJ17" s="530">
        <f>IF(I46="",0,IF(O46="",0,I46/O46))</f>
        <v>0</v>
      </c>
      <c r="AK17" s="530">
        <v>1</v>
      </c>
      <c r="AL17" s="540">
        <f>IF(K46="",0,IF(O46="",0,K46/O46))</f>
        <v>0</v>
      </c>
      <c r="AM17" s="541">
        <f>IF(M46="",0,IF(O46="",0,M46/O46))</f>
        <v>0</v>
      </c>
      <c r="AN17" s="541">
        <v>3</v>
      </c>
      <c r="AO17" s="369"/>
      <c r="AP17" s="495">
        <v>7</v>
      </c>
      <c r="AQ17" s="528" t="s">
        <v>177</v>
      </c>
      <c r="AR17" s="529"/>
      <c r="AS17" s="500">
        <v>0.47</v>
      </c>
      <c r="AT17" s="542">
        <v>400</v>
      </c>
      <c r="AU17" s="521">
        <f t="shared" si="6"/>
        <v>188</v>
      </c>
      <c r="AV17" s="369"/>
      <c r="AW17" s="495">
        <f t="shared" si="7"/>
        <v>8</v>
      </c>
      <c r="AX17" s="496" t="str">
        <f t="shared" si="25"/>
        <v>Weizen Korn (16 % RP2)</v>
      </c>
      <c r="AY17" s="522" t="s">
        <v>238</v>
      </c>
      <c r="AZ17" s="497">
        <v>86</v>
      </c>
      <c r="BA17" s="543" t="s">
        <v>189</v>
      </c>
      <c r="BB17" s="523">
        <v>2.41</v>
      </c>
      <c r="BC17" s="524">
        <v>0.8</v>
      </c>
      <c r="BD17" s="525">
        <v>0.35</v>
      </c>
      <c r="BE17" s="526">
        <v>2.1</v>
      </c>
      <c r="BF17" s="493">
        <v>1.07</v>
      </c>
      <c r="BG17" s="493">
        <v>2.13</v>
      </c>
      <c r="BH17" s="494">
        <v>0.38</v>
      </c>
      <c r="BI17" s="369"/>
      <c r="BJ17" s="495">
        <v>8</v>
      </c>
      <c r="BK17" s="496" t="s">
        <v>239</v>
      </c>
      <c r="BL17" s="497">
        <v>60</v>
      </c>
      <c r="BM17" s="497">
        <v>320</v>
      </c>
      <c r="BN17" s="497">
        <v>0.4</v>
      </c>
      <c r="BO17" s="498">
        <v>5.76</v>
      </c>
      <c r="BP17" s="498">
        <v>1.1499999999999999</v>
      </c>
      <c r="BQ17" s="498">
        <v>0.5</v>
      </c>
      <c r="BR17" s="369"/>
      <c r="BS17" s="495">
        <v>8</v>
      </c>
      <c r="BT17" s="496"/>
      <c r="BU17" s="497"/>
      <c r="BV17" s="497"/>
      <c r="BW17" s="525"/>
      <c r="BX17" s="498"/>
      <c r="BY17" s="498"/>
      <c r="BZ17" s="369"/>
      <c r="CA17" s="527">
        <v>8</v>
      </c>
      <c r="CB17" s="528" t="s">
        <v>240</v>
      </c>
      <c r="CC17" s="529"/>
      <c r="CD17" s="530">
        <v>34</v>
      </c>
      <c r="CE17" s="530">
        <v>9.5</v>
      </c>
      <c r="CF17" s="530">
        <v>1.2</v>
      </c>
      <c r="CG17" s="530">
        <v>15.8</v>
      </c>
      <c r="CH17" s="530">
        <v>0.8</v>
      </c>
      <c r="CI17" s="369"/>
      <c r="CJ17" s="369"/>
      <c r="CN17" s="368">
        <f t="shared" si="0"/>
        <v>0</v>
      </c>
      <c r="CO17" s="505">
        <f t="shared" si="1"/>
        <v>7</v>
      </c>
      <c r="CP17" s="368" t="str">
        <f t="shared" si="9"/>
        <v>Ammonnitrat-Harnstoff-Lösung</v>
      </c>
      <c r="CQ17" s="531">
        <f t="shared" si="10"/>
        <v>56</v>
      </c>
      <c r="CR17" s="368" t="str">
        <f t="shared" si="11"/>
        <v>Sauenmist (RAM); Ferkel 8 kg</v>
      </c>
      <c r="CS17" s="532">
        <f t="shared" si="12"/>
        <v>7</v>
      </c>
      <c r="CT17" s="368" t="str">
        <f t="shared" si="13"/>
        <v>Rotklee</v>
      </c>
      <c r="CU17" s="505">
        <f t="shared" si="14"/>
        <v>7</v>
      </c>
      <c r="CV17" s="368" t="str">
        <f t="shared" si="15"/>
        <v>Weizen Korn + Stroh3 (124 % RP2)</v>
      </c>
      <c r="CW17" s="505">
        <f t="shared" si="16"/>
        <v>7</v>
      </c>
      <c r="CX17" s="368" t="str">
        <f t="shared" si="17"/>
        <v>Getreide, GPS1</v>
      </c>
      <c r="CY17" s="505">
        <f t="shared" si="18"/>
        <v>7</v>
      </c>
      <c r="CZ17" s="368" t="str">
        <f t="shared" si="19"/>
        <v>Grassamenvermehrung</v>
      </c>
      <c r="DA17" s="505">
        <f t="shared" si="20"/>
        <v>7</v>
      </c>
      <c r="DB17" s="368" t="str">
        <f t="shared" si="21"/>
        <v>Klärschlamm, flüssig (m³)</v>
      </c>
      <c r="DC17" s="532">
        <f t="shared" si="22"/>
        <v>7</v>
      </c>
    </row>
    <row r="18" spans="1:107" ht="18" customHeight="1" x14ac:dyDescent="0.2">
      <c r="A18" s="368"/>
      <c r="B18" s="369"/>
      <c r="C18" s="533">
        <f t="shared" si="23"/>
        <v>8</v>
      </c>
      <c r="D18" s="496"/>
      <c r="E18" s="534" t="s">
        <v>241</v>
      </c>
      <c r="F18" s="535">
        <v>42</v>
      </c>
      <c r="G18" s="536"/>
      <c r="H18" s="465">
        <f t="shared" si="2"/>
        <v>0</v>
      </c>
      <c r="I18" s="536">
        <v>29</v>
      </c>
      <c r="J18" s="465">
        <f t="shared" si="3"/>
        <v>20.3</v>
      </c>
      <c r="K18" s="536"/>
      <c r="L18" s="536"/>
      <c r="M18" s="536"/>
      <c r="N18" s="536"/>
      <c r="O18" s="536"/>
      <c r="P18" s="536"/>
      <c r="Q18" s="537">
        <v>1</v>
      </c>
      <c r="R18" s="538">
        <v>1</v>
      </c>
      <c r="S18" s="369"/>
      <c r="T18" s="511">
        <f t="shared" si="4"/>
        <v>58</v>
      </c>
      <c r="U18" s="496" t="s">
        <v>242</v>
      </c>
      <c r="V18" s="497">
        <v>28</v>
      </c>
      <c r="W18" s="497"/>
      <c r="X18" s="497"/>
      <c r="Y18" s="497"/>
      <c r="Z18" s="497"/>
      <c r="AA18" s="497">
        <v>-28</v>
      </c>
      <c r="AB18" s="512"/>
      <c r="AC18" s="369"/>
      <c r="AD18" s="527">
        <f t="shared" si="24"/>
        <v>8</v>
      </c>
      <c r="AE18" s="528" t="s">
        <v>243</v>
      </c>
      <c r="AF18" s="529"/>
      <c r="AG18" s="539">
        <v>25</v>
      </c>
      <c r="AH18" s="539">
        <v>85</v>
      </c>
      <c r="AI18" s="530">
        <f t="shared" si="5"/>
        <v>0</v>
      </c>
      <c r="AJ18" s="530">
        <f>IF(I43="",0,IF(O43="",0,I43/O43))</f>
        <v>0</v>
      </c>
      <c r="AK18" s="530">
        <v>1</v>
      </c>
      <c r="AL18" s="540">
        <f>IF(K43="",0,IF(O43="",0,K43/O43))</f>
        <v>0</v>
      </c>
      <c r="AM18" s="541">
        <f>IF(M43="",0,IF(O43="",0,M43/O43))</f>
        <v>0</v>
      </c>
      <c r="AN18" s="541">
        <v>2</v>
      </c>
      <c r="AO18" s="369"/>
      <c r="AP18" s="544">
        <v>8</v>
      </c>
      <c r="AQ18" s="545" t="s">
        <v>191</v>
      </c>
      <c r="AR18" s="546"/>
      <c r="AS18" s="547">
        <v>0.56999999999999995</v>
      </c>
      <c r="AT18" s="548">
        <v>400</v>
      </c>
      <c r="AU18" s="521">
        <f t="shared" si="6"/>
        <v>227.99999999999997</v>
      </c>
      <c r="AV18" s="369"/>
      <c r="AW18" s="495">
        <f t="shared" si="7"/>
        <v>9</v>
      </c>
      <c r="AX18" s="496" t="str">
        <f t="shared" si="25"/>
        <v>Weizen Stroh (16 % RP2)</v>
      </c>
      <c r="AY18" s="522" t="s">
        <v>244</v>
      </c>
      <c r="AZ18" s="497">
        <v>86</v>
      </c>
      <c r="BA18" s="497" t="s">
        <v>189</v>
      </c>
      <c r="BB18" s="523">
        <v>0.5</v>
      </c>
      <c r="BC18" s="524">
        <v>0.3</v>
      </c>
      <c r="BD18" s="525">
        <v>0.13</v>
      </c>
      <c r="BE18" s="526">
        <v>2.2400000000000002</v>
      </c>
      <c r="BF18" s="493">
        <v>1.07</v>
      </c>
      <c r="BG18" s="493">
        <v>2.13</v>
      </c>
      <c r="BH18" s="494">
        <v>0.38</v>
      </c>
      <c r="BI18" s="369"/>
      <c r="BJ18" s="495">
        <v>9</v>
      </c>
      <c r="BK18" s="496" t="s">
        <v>245</v>
      </c>
      <c r="BL18" s="497">
        <v>92</v>
      </c>
      <c r="BM18" s="497">
        <v>280</v>
      </c>
      <c r="BN18" s="497">
        <v>0.7</v>
      </c>
      <c r="BO18" s="498">
        <v>6.11</v>
      </c>
      <c r="BP18" s="498">
        <v>2.06</v>
      </c>
      <c r="BQ18" s="498">
        <v>0.91</v>
      </c>
      <c r="BR18" s="369"/>
      <c r="BS18" s="495">
        <v>9</v>
      </c>
      <c r="BT18" s="496"/>
      <c r="BU18" s="497"/>
      <c r="BV18" s="497"/>
      <c r="BW18" s="525"/>
      <c r="BX18" s="498"/>
      <c r="BY18" s="498"/>
      <c r="BZ18" s="369"/>
      <c r="CA18" s="527">
        <v>9</v>
      </c>
      <c r="CB18" s="528" t="s">
        <v>246</v>
      </c>
      <c r="CC18" s="529"/>
      <c r="CD18" s="530">
        <v>30</v>
      </c>
      <c r="CE18" s="530">
        <v>8.1999999999999993</v>
      </c>
      <c r="CF18" s="530">
        <v>0.2</v>
      </c>
      <c r="CG18" s="530">
        <v>4.7</v>
      </c>
      <c r="CH18" s="530">
        <v>6</v>
      </c>
      <c r="CI18" s="369"/>
      <c r="CJ18" s="369"/>
      <c r="CN18" s="368">
        <f t="shared" si="0"/>
        <v>0</v>
      </c>
      <c r="CO18" s="505">
        <f t="shared" si="1"/>
        <v>8</v>
      </c>
      <c r="CP18" s="368" t="str">
        <f t="shared" si="9"/>
        <v>Piasan 24-3</v>
      </c>
      <c r="CQ18" s="531">
        <f t="shared" si="10"/>
        <v>57</v>
      </c>
      <c r="CR18" s="368" t="str">
        <f t="shared" si="11"/>
        <v>Sauenmist (RAM); Ferkel 28 kg</v>
      </c>
      <c r="CS18" s="532">
        <f t="shared" si="12"/>
        <v>8</v>
      </c>
      <c r="CT18" s="368" t="str">
        <f t="shared" si="13"/>
        <v>Luzerne</v>
      </c>
      <c r="CU18" s="505">
        <f t="shared" si="14"/>
        <v>8</v>
      </c>
      <c r="CV18" s="368" t="str">
        <f t="shared" si="15"/>
        <v>Weizen Korn (16 % RP2)</v>
      </c>
      <c r="CW18" s="505">
        <f t="shared" si="16"/>
        <v>8</v>
      </c>
      <c r="CX18" s="368" t="str">
        <f t="shared" si="17"/>
        <v>Getreideschlempe, frisch (Weizen)</v>
      </c>
      <c r="CY18" s="505">
        <f t="shared" si="18"/>
        <v>8</v>
      </c>
      <c r="CZ18" s="368">
        <f t="shared" si="19"/>
        <v>0</v>
      </c>
      <c r="DA18" s="505">
        <f t="shared" si="20"/>
        <v>8</v>
      </c>
      <c r="DB18" s="368" t="str">
        <f t="shared" si="21"/>
        <v>Klärschlamm, stichfest (t)</v>
      </c>
      <c r="DC18" s="532">
        <f t="shared" si="22"/>
        <v>8</v>
      </c>
    </row>
    <row r="19" spans="1:107" ht="18" customHeight="1" x14ac:dyDescent="0.2">
      <c r="A19" s="368"/>
      <c r="B19" s="369"/>
      <c r="C19" s="533">
        <f t="shared" si="23"/>
        <v>9</v>
      </c>
      <c r="D19" s="549"/>
      <c r="E19" s="550" t="s">
        <v>247</v>
      </c>
      <c r="F19" s="551">
        <v>49.3</v>
      </c>
      <c r="G19" s="552"/>
      <c r="H19" s="553">
        <f t="shared" si="2"/>
        <v>0</v>
      </c>
      <c r="I19" s="552">
        <v>49.7</v>
      </c>
      <c r="J19" s="553">
        <f t="shared" si="3"/>
        <v>34.790000000000006</v>
      </c>
      <c r="K19" s="552"/>
      <c r="L19" s="552"/>
      <c r="M19" s="552"/>
      <c r="N19" s="552"/>
      <c r="O19" s="552"/>
      <c r="P19" s="552"/>
      <c r="Q19" s="537">
        <v>1</v>
      </c>
      <c r="R19" s="538">
        <v>0.7</v>
      </c>
      <c r="S19" s="369"/>
      <c r="T19" s="511">
        <f t="shared" si="4"/>
        <v>59</v>
      </c>
      <c r="U19" s="496" t="s">
        <v>248</v>
      </c>
      <c r="V19" s="497">
        <v>24</v>
      </c>
      <c r="W19" s="497"/>
      <c r="X19" s="497"/>
      <c r="Y19" s="497"/>
      <c r="Z19" s="497">
        <v>3</v>
      </c>
      <c r="AA19" s="497">
        <v>-29</v>
      </c>
      <c r="AB19" s="512"/>
      <c r="AC19" s="369"/>
      <c r="AD19" s="527">
        <f t="shared" si="24"/>
        <v>9</v>
      </c>
      <c r="AE19" s="528" t="s">
        <v>249</v>
      </c>
      <c r="AF19" s="529"/>
      <c r="AG19" s="539">
        <v>25</v>
      </c>
      <c r="AH19" s="539">
        <v>85</v>
      </c>
      <c r="AI19" s="530">
        <f t="shared" si="5"/>
        <v>0</v>
      </c>
      <c r="AJ19" s="530">
        <f>IF(I37="",0,IF(O37="",0,I37/O37))</f>
        <v>0</v>
      </c>
      <c r="AK19" s="530">
        <v>1</v>
      </c>
      <c r="AL19" s="540">
        <f>IF(K37="",0,IF(O37="",0,K37/O37))</f>
        <v>0</v>
      </c>
      <c r="AM19" s="541">
        <f>IF(M37="",0,IF(O37="",0,M37/O37))</f>
        <v>0</v>
      </c>
      <c r="AN19" s="541">
        <v>0</v>
      </c>
      <c r="AO19" s="369"/>
      <c r="AP19" s="544">
        <f>AP18+1</f>
        <v>9</v>
      </c>
      <c r="AQ19" s="545"/>
      <c r="AR19" s="546"/>
      <c r="AS19" s="547"/>
      <c r="AT19" s="548"/>
      <c r="AU19" s="521" t="str">
        <f t="shared" si="6"/>
        <v/>
      </c>
      <c r="AV19" s="369"/>
      <c r="AW19" s="495">
        <f t="shared" si="7"/>
        <v>10</v>
      </c>
      <c r="AX19" s="554" t="str">
        <f t="shared" si="25"/>
        <v>Weizen Korn + Stroh3 (16 % RP2)</v>
      </c>
      <c r="AY19" s="555" t="s">
        <v>250</v>
      </c>
      <c r="AZ19" s="556" t="s">
        <v>189</v>
      </c>
      <c r="BA19" s="556">
        <v>0.8</v>
      </c>
      <c r="BB19" s="557">
        <v>2.81</v>
      </c>
      <c r="BC19" s="558">
        <v>1.04</v>
      </c>
      <c r="BD19" s="559">
        <v>0.45</v>
      </c>
      <c r="BE19" s="526">
        <v>2.0499999999999998</v>
      </c>
      <c r="BF19" s="493">
        <v>1.04</v>
      </c>
      <c r="BG19" s="493">
        <v>1.96</v>
      </c>
      <c r="BH19" s="494">
        <v>0.28000000000000003</v>
      </c>
      <c r="BI19" s="369"/>
      <c r="BJ19" s="495">
        <f>BJ18+1</f>
        <v>10</v>
      </c>
      <c r="BK19" s="496" t="s">
        <v>251</v>
      </c>
      <c r="BL19" s="499">
        <v>90</v>
      </c>
      <c r="BM19" s="499">
        <v>320</v>
      </c>
      <c r="BN19" s="499">
        <v>0.4</v>
      </c>
      <c r="BO19" s="500">
        <v>1.1200000000000001</v>
      </c>
      <c r="BP19" s="500">
        <v>0.39</v>
      </c>
      <c r="BQ19" s="500">
        <v>0.17</v>
      </c>
      <c r="BR19" s="369"/>
      <c r="BS19" s="495">
        <v>10</v>
      </c>
      <c r="BT19" s="496"/>
      <c r="BU19" s="497"/>
      <c r="BV19" s="497"/>
      <c r="BW19" s="525"/>
      <c r="BX19" s="498"/>
      <c r="BY19" s="498"/>
      <c r="BZ19" s="369"/>
      <c r="CA19" s="527">
        <v>10</v>
      </c>
      <c r="CB19" s="528"/>
      <c r="CC19" s="529"/>
      <c r="CD19" s="530"/>
      <c r="CE19" s="530"/>
      <c r="CF19" s="530"/>
      <c r="CG19" s="530"/>
      <c r="CH19" s="530"/>
      <c r="CI19" s="369"/>
      <c r="CJ19" s="369"/>
      <c r="CN19" s="368">
        <f t="shared" si="0"/>
        <v>0</v>
      </c>
      <c r="CO19" s="505">
        <f t="shared" si="1"/>
        <v>9</v>
      </c>
      <c r="CP19" s="368" t="str">
        <f t="shared" si="9"/>
        <v>Alzon flüssig</v>
      </c>
      <c r="CQ19" s="531">
        <f t="shared" si="10"/>
        <v>58</v>
      </c>
      <c r="CR19" s="368" t="str">
        <f t="shared" si="11"/>
        <v>Ferkelmist</v>
      </c>
      <c r="CS19" s="532">
        <f t="shared" si="12"/>
        <v>9</v>
      </c>
      <c r="CT19" s="368">
        <f t="shared" si="13"/>
        <v>0</v>
      </c>
      <c r="CU19" s="505">
        <f t="shared" si="14"/>
        <v>9</v>
      </c>
      <c r="CV19" s="368" t="str">
        <f t="shared" si="15"/>
        <v>Weizen Stroh (16 % RP2)</v>
      </c>
      <c r="CW19" s="505">
        <f t="shared" si="16"/>
        <v>9</v>
      </c>
      <c r="CX19" s="368" t="str">
        <f t="shared" si="17"/>
        <v>Getreideschlempe, getrocknet (Weizen)</v>
      </c>
      <c r="CY19" s="505">
        <f t="shared" si="18"/>
        <v>9</v>
      </c>
      <c r="CZ19" s="368">
        <f t="shared" si="19"/>
        <v>0</v>
      </c>
      <c r="DA19" s="505">
        <f t="shared" si="20"/>
        <v>9</v>
      </c>
      <c r="DB19" s="368" t="str">
        <f t="shared" si="21"/>
        <v>Champingnonerde (t)</v>
      </c>
      <c r="DC19" s="532">
        <f t="shared" si="22"/>
        <v>9</v>
      </c>
    </row>
    <row r="20" spans="1:107" ht="18" customHeight="1" x14ac:dyDescent="0.2">
      <c r="A20" s="368"/>
      <c r="B20" s="369"/>
      <c r="C20" s="533">
        <f t="shared" si="23"/>
        <v>10</v>
      </c>
      <c r="D20" s="560" t="s">
        <v>252</v>
      </c>
      <c r="E20" s="561" t="s">
        <v>253</v>
      </c>
      <c r="F20" s="562">
        <v>77</v>
      </c>
      <c r="G20" s="563"/>
      <c r="H20" s="563">
        <f t="shared" si="2"/>
        <v>0</v>
      </c>
      <c r="I20" s="563">
        <v>56.3</v>
      </c>
      <c r="J20" s="563">
        <f t="shared" si="3"/>
        <v>39.409999999999997</v>
      </c>
      <c r="K20" s="563"/>
      <c r="L20" s="563"/>
      <c r="M20" s="563"/>
      <c r="N20" s="563"/>
      <c r="O20" s="563"/>
      <c r="P20" s="563"/>
      <c r="Q20" s="537">
        <v>1</v>
      </c>
      <c r="R20" s="538">
        <v>0.7</v>
      </c>
      <c r="S20" s="369"/>
      <c r="T20" s="511">
        <f t="shared" si="4"/>
        <v>60</v>
      </c>
      <c r="U20" s="496" t="s">
        <v>254</v>
      </c>
      <c r="V20" s="497">
        <v>28</v>
      </c>
      <c r="W20" s="497"/>
      <c r="X20" s="497"/>
      <c r="Y20" s="497"/>
      <c r="Z20" s="497">
        <v>5</v>
      </c>
      <c r="AA20" s="497">
        <v>-30</v>
      </c>
      <c r="AB20" s="512"/>
      <c r="AC20" s="369"/>
      <c r="AD20" s="527">
        <f t="shared" si="24"/>
        <v>10</v>
      </c>
      <c r="AE20" s="528" t="s">
        <v>255</v>
      </c>
      <c r="AF20" s="529"/>
      <c r="AG20" s="539">
        <v>25</v>
      </c>
      <c r="AH20" s="539">
        <v>85</v>
      </c>
      <c r="AI20" s="530">
        <f t="shared" si="5"/>
        <v>0</v>
      </c>
      <c r="AJ20" s="530">
        <f>IF(I47="",0,IF(O47="",0,I47/O47))</f>
        <v>0</v>
      </c>
      <c r="AK20" s="530">
        <v>1</v>
      </c>
      <c r="AL20" s="540">
        <v>6</v>
      </c>
      <c r="AM20" s="541">
        <v>7</v>
      </c>
      <c r="AN20" s="541">
        <v>2</v>
      </c>
      <c r="AO20" s="369"/>
      <c r="AP20" s="544">
        <f>AP19+1</f>
        <v>10</v>
      </c>
      <c r="AQ20" s="545"/>
      <c r="AR20" s="546"/>
      <c r="AS20" s="547"/>
      <c r="AT20" s="548"/>
      <c r="AU20" s="521" t="str">
        <f t="shared" si="6"/>
        <v/>
      </c>
      <c r="AV20" s="369"/>
      <c r="AW20" s="495">
        <f t="shared" si="7"/>
        <v>11</v>
      </c>
      <c r="AX20" s="564" t="str">
        <f t="shared" ref="AX20:AX25" si="26">CONCATENATE("Wintergerste ",AY20)</f>
        <v>Wintergerste Korn (12 % RP2)</v>
      </c>
      <c r="AY20" s="565" t="s">
        <v>188</v>
      </c>
      <c r="AZ20" s="566">
        <v>86</v>
      </c>
      <c r="BA20" s="566" t="s">
        <v>189</v>
      </c>
      <c r="BB20" s="567">
        <v>1.65</v>
      </c>
      <c r="BC20" s="568">
        <v>0.8</v>
      </c>
      <c r="BD20" s="569">
        <v>0.35</v>
      </c>
      <c r="BE20" s="526">
        <v>2.19</v>
      </c>
      <c r="BF20" s="493">
        <v>1.04</v>
      </c>
      <c r="BG20" s="493">
        <v>1.96</v>
      </c>
      <c r="BH20" s="494">
        <v>0.28000000000000003</v>
      </c>
      <c r="BI20" s="369"/>
      <c r="BJ20" s="495">
        <v>11</v>
      </c>
      <c r="BK20" s="496" t="s">
        <v>256</v>
      </c>
      <c r="BL20" s="497">
        <v>90</v>
      </c>
      <c r="BM20" s="497">
        <v>90</v>
      </c>
      <c r="BN20" s="497">
        <v>1</v>
      </c>
      <c r="BO20" s="498">
        <v>13.44</v>
      </c>
      <c r="BP20" s="498">
        <v>1.1499999999999999</v>
      </c>
      <c r="BQ20" s="498">
        <v>0.5</v>
      </c>
      <c r="BR20" s="369"/>
      <c r="BS20" s="495">
        <v>11</v>
      </c>
      <c r="BT20" s="496"/>
      <c r="BU20" s="497"/>
      <c r="BV20" s="497"/>
      <c r="BW20" s="525"/>
      <c r="BX20" s="498"/>
      <c r="BY20" s="498"/>
      <c r="BZ20" s="369"/>
      <c r="CA20" s="527">
        <f>CA19+1</f>
        <v>11</v>
      </c>
      <c r="CB20" s="528"/>
      <c r="CC20" s="529"/>
      <c r="CD20" s="530"/>
      <c r="CE20" s="530"/>
      <c r="CF20" s="530"/>
      <c r="CG20" s="530"/>
      <c r="CH20" s="530"/>
      <c r="CI20" s="369"/>
      <c r="CJ20" s="369"/>
      <c r="CN20" s="368" t="str">
        <f t="shared" si="0"/>
        <v>Nutztiere</v>
      </c>
      <c r="CO20" s="505">
        <f t="shared" si="1"/>
        <v>10</v>
      </c>
      <c r="CP20" s="368" t="str">
        <f t="shared" si="9"/>
        <v>Alzon flüssig - S</v>
      </c>
      <c r="CQ20" s="531">
        <f t="shared" si="10"/>
        <v>59</v>
      </c>
      <c r="CR20" s="368" t="str">
        <f t="shared" si="11"/>
        <v>Schweinemist (Mastschweine)</v>
      </c>
      <c r="CS20" s="532">
        <f t="shared" si="12"/>
        <v>10</v>
      </c>
      <c r="CT20" s="368">
        <f t="shared" si="13"/>
        <v>0</v>
      </c>
      <c r="CU20" s="505">
        <f t="shared" si="14"/>
        <v>10</v>
      </c>
      <c r="CV20" s="368" t="str">
        <f t="shared" si="15"/>
        <v>Weizen Korn + Stroh3 (16 % RP2)</v>
      </c>
      <c r="CW20" s="505">
        <f t="shared" si="16"/>
        <v>10</v>
      </c>
      <c r="CX20" s="368" t="str">
        <f t="shared" si="17"/>
        <v>Haferschälkleie</v>
      </c>
      <c r="CY20" s="505">
        <f t="shared" si="18"/>
        <v>10</v>
      </c>
      <c r="CZ20" s="368">
        <f t="shared" si="19"/>
        <v>0</v>
      </c>
      <c r="DA20" s="505">
        <f t="shared" si="20"/>
        <v>10</v>
      </c>
      <c r="DB20" s="368">
        <f t="shared" si="21"/>
        <v>0</v>
      </c>
      <c r="DC20" s="532">
        <f t="shared" si="22"/>
        <v>10</v>
      </c>
    </row>
    <row r="21" spans="1:107" ht="18" customHeight="1" x14ac:dyDescent="0.2">
      <c r="A21" s="368"/>
      <c r="B21" s="369"/>
      <c r="C21" s="533">
        <f t="shared" si="23"/>
        <v>11</v>
      </c>
      <c r="D21" s="570" t="s">
        <v>257</v>
      </c>
      <c r="E21" s="571" t="s">
        <v>258</v>
      </c>
      <c r="F21" s="572">
        <v>28</v>
      </c>
      <c r="G21" s="465">
        <v>25</v>
      </c>
      <c r="H21" s="465">
        <f t="shared" si="2"/>
        <v>25</v>
      </c>
      <c r="I21" s="465">
        <v>43.7</v>
      </c>
      <c r="J21" s="465">
        <f t="shared" si="3"/>
        <v>30.590000000000003</v>
      </c>
      <c r="K21" s="465">
        <v>13.7</v>
      </c>
      <c r="L21" s="465">
        <v>6</v>
      </c>
      <c r="M21" s="465"/>
      <c r="N21" s="465">
        <v>56</v>
      </c>
      <c r="O21" s="465">
        <v>54</v>
      </c>
      <c r="P21" s="465">
        <v>46</v>
      </c>
      <c r="Q21" s="537">
        <v>1</v>
      </c>
      <c r="R21" s="538">
        <v>0.7</v>
      </c>
      <c r="S21" s="369"/>
      <c r="T21" s="511">
        <f t="shared" si="4"/>
        <v>61</v>
      </c>
      <c r="U21" s="496" t="s">
        <v>259</v>
      </c>
      <c r="V21" s="497">
        <v>12</v>
      </c>
      <c r="W21" s="497"/>
      <c r="X21" s="497"/>
      <c r="Y21" s="497"/>
      <c r="Z21" s="497">
        <v>26</v>
      </c>
      <c r="AA21" s="497">
        <v>-32</v>
      </c>
      <c r="AB21" s="512"/>
      <c r="AC21" s="369"/>
      <c r="AD21" s="527">
        <f t="shared" si="24"/>
        <v>11</v>
      </c>
      <c r="AE21" s="528" t="s">
        <v>260</v>
      </c>
      <c r="AF21" s="529"/>
      <c r="AG21" s="539">
        <v>25</v>
      </c>
      <c r="AH21" s="539">
        <v>85</v>
      </c>
      <c r="AI21" s="530">
        <f t="shared" si="5"/>
        <v>0</v>
      </c>
      <c r="AJ21" s="530">
        <f>IF(I48="",0,IF(O48="",0,I48/O48))</f>
        <v>0</v>
      </c>
      <c r="AK21" s="530">
        <v>1</v>
      </c>
      <c r="AL21" s="540">
        <f>IF(K48="",0,IF(O48="",0,K48/O48))</f>
        <v>0</v>
      </c>
      <c r="AM21" s="541">
        <f>IF(M48="",0,IF(O48="",0,M48/O48))</f>
        <v>0</v>
      </c>
      <c r="AN21" s="541">
        <v>2</v>
      </c>
      <c r="AO21" s="369"/>
      <c r="AP21" s="573"/>
      <c r="AQ21" s="574" t="s">
        <v>182</v>
      </c>
      <c r="AR21" s="575"/>
      <c r="AS21" s="576"/>
      <c r="AT21" s="577"/>
      <c r="AU21" s="578"/>
      <c r="AV21" s="369"/>
      <c r="AW21" s="495">
        <f t="shared" si="7"/>
        <v>12</v>
      </c>
      <c r="AX21" s="496" t="str">
        <f t="shared" si="26"/>
        <v>Wintergerste Stroh (12 % RP2)</v>
      </c>
      <c r="AY21" s="496" t="s">
        <v>197</v>
      </c>
      <c r="AZ21" s="499">
        <v>86</v>
      </c>
      <c r="BA21" s="499" t="s">
        <v>189</v>
      </c>
      <c r="BB21" s="579">
        <v>0.5</v>
      </c>
      <c r="BC21" s="524">
        <v>0.3</v>
      </c>
      <c r="BD21" s="525">
        <v>0.13</v>
      </c>
      <c r="BE21" s="526">
        <v>2.06</v>
      </c>
      <c r="BF21" s="493">
        <v>1.1299999999999999</v>
      </c>
      <c r="BG21" s="493">
        <v>2.4700000000000002</v>
      </c>
      <c r="BH21" s="494">
        <v>0.42</v>
      </c>
      <c r="BI21" s="369"/>
      <c r="BJ21" s="495">
        <v>12</v>
      </c>
      <c r="BK21" s="496" t="s">
        <v>261</v>
      </c>
      <c r="BL21" s="497">
        <v>18</v>
      </c>
      <c r="BM21" s="497"/>
      <c r="BN21" s="497"/>
      <c r="BO21" s="498">
        <v>0.78</v>
      </c>
      <c r="BP21" s="498">
        <v>0.64</v>
      </c>
      <c r="BQ21" s="498">
        <v>0.28000000000000003</v>
      </c>
      <c r="BR21" s="369"/>
      <c r="BS21" s="580">
        <v>12</v>
      </c>
      <c r="BT21" s="581"/>
      <c r="BU21" s="582"/>
      <c r="BV21" s="582"/>
      <c r="BW21" s="583"/>
      <c r="BX21" s="584"/>
      <c r="BY21" s="584"/>
      <c r="BZ21" s="369"/>
      <c r="CA21" s="527">
        <f>CA20+1</f>
        <v>12</v>
      </c>
      <c r="CB21" s="528"/>
      <c r="CC21" s="529"/>
      <c r="CD21" s="530"/>
      <c r="CE21" s="530"/>
      <c r="CF21" s="530"/>
      <c r="CG21" s="530"/>
      <c r="CH21" s="530"/>
      <c r="CI21" s="369"/>
      <c r="CJ21" s="369"/>
      <c r="CN21" s="368" t="str">
        <f t="shared" si="0"/>
        <v>Rind, milchbetont</v>
      </c>
      <c r="CO21" s="505">
        <f t="shared" si="1"/>
        <v>11</v>
      </c>
      <c r="CP21" s="368" t="str">
        <f t="shared" si="9"/>
        <v>N-Düngerlösung mit Schwefel</v>
      </c>
      <c r="CQ21" s="531">
        <f t="shared" si="10"/>
        <v>60</v>
      </c>
      <c r="CR21" s="368" t="str">
        <f t="shared" si="11"/>
        <v>Schweinemist (Mastschweine RAM)</v>
      </c>
      <c r="CS21" s="532">
        <f t="shared" si="12"/>
        <v>11</v>
      </c>
      <c r="CT21" s="368" t="str">
        <f t="shared" si="13"/>
        <v>Zwischenfrucht</v>
      </c>
      <c r="CU21" s="505">
        <f t="shared" si="14"/>
        <v>0</v>
      </c>
      <c r="CV21" s="368" t="str">
        <f t="shared" si="15"/>
        <v>Wintergerste Korn (12 % RP2)</v>
      </c>
      <c r="CW21" s="505">
        <f t="shared" si="16"/>
        <v>11</v>
      </c>
      <c r="CX21" s="368" t="str">
        <f t="shared" si="17"/>
        <v>Kartoffeleiweiß</v>
      </c>
      <c r="CY21" s="505">
        <f t="shared" si="18"/>
        <v>11</v>
      </c>
      <c r="CZ21" s="368">
        <f t="shared" si="19"/>
        <v>0</v>
      </c>
      <c r="DA21" s="505">
        <f t="shared" si="20"/>
        <v>11</v>
      </c>
      <c r="DB21" s="368">
        <f t="shared" si="21"/>
        <v>0</v>
      </c>
      <c r="DC21" s="532">
        <f t="shared" si="22"/>
        <v>11</v>
      </c>
    </row>
    <row r="22" spans="1:107" ht="18" customHeight="1" x14ac:dyDescent="0.2">
      <c r="A22" s="368"/>
      <c r="B22" s="369"/>
      <c r="C22" s="533">
        <f t="shared" si="23"/>
        <v>12</v>
      </c>
      <c r="D22" s="585" t="s">
        <v>62</v>
      </c>
      <c r="E22" s="586" t="s">
        <v>253</v>
      </c>
      <c r="F22" s="535">
        <v>45</v>
      </c>
      <c r="G22" s="536">
        <v>27</v>
      </c>
      <c r="H22" s="465">
        <f t="shared" si="2"/>
        <v>27</v>
      </c>
      <c r="I22" s="536">
        <v>49.3</v>
      </c>
      <c r="J22" s="465">
        <f t="shared" si="3"/>
        <v>34.51</v>
      </c>
      <c r="K22" s="536">
        <v>14.9</v>
      </c>
      <c r="L22" s="536">
        <v>6.5</v>
      </c>
      <c r="M22" s="536"/>
      <c r="N22" s="536">
        <v>58</v>
      </c>
      <c r="O22" s="536">
        <v>56</v>
      </c>
      <c r="P22" s="536">
        <v>50</v>
      </c>
      <c r="Q22" s="537">
        <v>1</v>
      </c>
      <c r="R22" s="538">
        <v>0.7</v>
      </c>
      <c r="S22" s="369"/>
      <c r="T22" s="511">
        <f t="shared" si="4"/>
        <v>62</v>
      </c>
      <c r="U22" s="496" t="s">
        <v>262</v>
      </c>
      <c r="V22" s="497">
        <v>26</v>
      </c>
      <c r="W22" s="497"/>
      <c r="X22" s="497"/>
      <c r="Y22" s="497"/>
      <c r="Z22" s="497">
        <v>14</v>
      </c>
      <c r="AA22" s="497">
        <v>-51</v>
      </c>
      <c r="AB22" s="512">
        <v>19.7</v>
      </c>
      <c r="AC22" s="369"/>
      <c r="AD22" s="527">
        <f t="shared" si="24"/>
        <v>12</v>
      </c>
      <c r="AE22" s="528" t="s">
        <v>263</v>
      </c>
      <c r="AF22" s="529"/>
      <c r="AG22" s="539">
        <v>50</v>
      </c>
      <c r="AH22" s="539">
        <v>83</v>
      </c>
      <c r="AI22" s="530">
        <f t="shared" si="5"/>
        <v>19.920000000000002</v>
      </c>
      <c r="AJ22" s="530">
        <v>24</v>
      </c>
      <c r="AK22" s="530">
        <v>8</v>
      </c>
      <c r="AL22" s="540">
        <v>21</v>
      </c>
      <c r="AM22" s="541">
        <v>30</v>
      </c>
      <c r="AN22" s="541">
        <v>5</v>
      </c>
      <c r="AO22" s="369"/>
      <c r="AP22" s="516">
        <v>12</v>
      </c>
      <c r="AQ22" s="517" t="s">
        <v>264</v>
      </c>
      <c r="AR22" s="518"/>
      <c r="AS22" s="519">
        <v>0.2</v>
      </c>
      <c r="AT22" s="520">
        <v>300</v>
      </c>
      <c r="AU22" s="521">
        <f>IF(AT22="","",AS22*AT22)</f>
        <v>60</v>
      </c>
      <c r="AV22" s="369"/>
      <c r="AW22" s="495">
        <f t="shared" si="7"/>
        <v>13</v>
      </c>
      <c r="AX22" s="496" t="str">
        <f t="shared" si="26"/>
        <v>Wintergerste Korn + Stroh3 (12 % RP2)</v>
      </c>
      <c r="AY22" s="496" t="s">
        <v>265</v>
      </c>
      <c r="AZ22" s="499" t="s">
        <v>189</v>
      </c>
      <c r="BA22" s="499">
        <v>0.7</v>
      </c>
      <c r="BB22" s="579">
        <v>2</v>
      </c>
      <c r="BC22" s="524">
        <v>1.01</v>
      </c>
      <c r="BD22" s="525">
        <v>0.44</v>
      </c>
      <c r="BE22" s="526">
        <v>2.2000000000000002</v>
      </c>
      <c r="BF22" s="493">
        <v>1.1299999999999999</v>
      </c>
      <c r="BG22" s="493">
        <v>2.4700000000000002</v>
      </c>
      <c r="BH22" s="494">
        <v>0.42</v>
      </c>
      <c r="BI22" s="369"/>
      <c r="BJ22" s="495">
        <v>13</v>
      </c>
      <c r="BK22" s="496" t="s">
        <v>266</v>
      </c>
      <c r="BL22" s="497">
        <v>5.5</v>
      </c>
      <c r="BM22" s="497"/>
      <c r="BN22" s="497"/>
      <c r="BO22" s="498">
        <v>5.28</v>
      </c>
      <c r="BP22" s="498">
        <v>1.53</v>
      </c>
      <c r="BQ22" s="498">
        <v>0.68</v>
      </c>
      <c r="BR22" s="369"/>
      <c r="BS22" s="369"/>
      <c r="BT22" s="369"/>
      <c r="BU22" s="369"/>
      <c r="BV22" s="369"/>
      <c r="BW22" s="369"/>
      <c r="BX22" s="369"/>
      <c r="BY22" s="369"/>
      <c r="BZ22" s="369"/>
      <c r="CA22" s="527">
        <f>CA21+1</f>
        <v>13</v>
      </c>
      <c r="CB22" s="528"/>
      <c r="CC22" s="529"/>
      <c r="CD22" s="530"/>
      <c r="CE22" s="530"/>
      <c r="CF22" s="530"/>
      <c r="CG22" s="530"/>
      <c r="CH22" s="530"/>
      <c r="CI22" s="369"/>
      <c r="CJ22" s="369"/>
      <c r="CN22" s="368" t="str">
        <f t="shared" si="0"/>
        <v>Rind, fleischbetont</v>
      </c>
      <c r="CO22" s="505">
        <f t="shared" si="1"/>
        <v>12</v>
      </c>
      <c r="CP22" s="368" t="str">
        <f t="shared" si="9"/>
        <v>Ammoniumthiosulfat (ATS)</v>
      </c>
      <c r="CQ22" s="531">
        <f t="shared" si="10"/>
        <v>61</v>
      </c>
      <c r="CR22" s="368" t="str">
        <f t="shared" si="11"/>
        <v>Hähnchenmist</v>
      </c>
      <c r="CS22" s="532">
        <f t="shared" si="12"/>
        <v>12</v>
      </c>
      <c r="CT22" s="368" t="str">
        <f t="shared" si="13"/>
        <v>Leguminosen-Zwischenfrucht a)</v>
      </c>
      <c r="CU22" s="505">
        <f t="shared" si="14"/>
        <v>12</v>
      </c>
      <c r="CV22" s="368" t="str">
        <f t="shared" si="15"/>
        <v>Wintergerste Stroh (12 % RP2)</v>
      </c>
      <c r="CW22" s="505">
        <f t="shared" si="16"/>
        <v>12</v>
      </c>
      <c r="CX22" s="368" t="str">
        <f t="shared" si="17"/>
        <v>Kartoffelpülpe, siliert</v>
      </c>
      <c r="CY22" s="505">
        <f t="shared" si="18"/>
        <v>12</v>
      </c>
      <c r="CZ22" s="368">
        <f t="shared" si="19"/>
        <v>0</v>
      </c>
      <c r="DA22" s="505">
        <f t="shared" si="20"/>
        <v>12</v>
      </c>
      <c r="DB22" s="368">
        <f t="shared" si="21"/>
        <v>0</v>
      </c>
      <c r="DC22" s="532">
        <f t="shared" si="22"/>
        <v>12</v>
      </c>
    </row>
    <row r="23" spans="1:107" ht="18" customHeight="1" x14ac:dyDescent="0.2">
      <c r="A23" s="368"/>
      <c r="B23" s="369"/>
      <c r="C23" s="533">
        <f t="shared" si="23"/>
        <v>13</v>
      </c>
      <c r="D23" s="585" t="s">
        <v>63</v>
      </c>
      <c r="E23" s="534" t="s">
        <v>258</v>
      </c>
      <c r="F23" s="535">
        <v>40</v>
      </c>
      <c r="G23" s="536">
        <v>25.6</v>
      </c>
      <c r="H23" s="465">
        <f t="shared" si="2"/>
        <v>25.6</v>
      </c>
      <c r="I23" s="536">
        <v>38.700000000000003</v>
      </c>
      <c r="J23" s="465">
        <f t="shared" si="3"/>
        <v>27.090000000000003</v>
      </c>
      <c r="K23" s="536">
        <v>11.7</v>
      </c>
      <c r="L23" s="536">
        <v>5.0999999999999996</v>
      </c>
      <c r="M23" s="536">
        <v>79</v>
      </c>
      <c r="N23" s="536"/>
      <c r="O23" s="536"/>
      <c r="P23" s="536"/>
      <c r="Q23" s="537">
        <v>1</v>
      </c>
      <c r="R23" s="538">
        <v>0.7</v>
      </c>
      <c r="S23" s="369"/>
      <c r="T23" s="511">
        <f t="shared" si="4"/>
        <v>63</v>
      </c>
      <c r="U23" s="496" t="s">
        <v>267</v>
      </c>
      <c r="V23" s="497">
        <v>26</v>
      </c>
      <c r="W23" s="497"/>
      <c r="X23" s="497"/>
      <c r="Y23" s="497"/>
      <c r="Z23" s="497">
        <v>13</v>
      </c>
      <c r="AA23" s="497">
        <v>-51</v>
      </c>
      <c r="AB23" s="512"/>
      <c r="AC23" s="369"/>
      <c r="AD23" s="527">
        <f t="shared" si="24"/>
        <v>13</v>
      </c>
      <c r="AE23" s="528" t="s">
        <v>268</v>
      </c>
      <c r="AF23" s="529"/>
      <c r="AG23" s="539">
        <v>50</v>
      </c>
      <c r="AH23" s="539">
        <v>83</v>
      </c>
      <c r="AI23" s="530">
        <f t="shared" si="5"/>
        <v>19.920000000000002</v>
      </c>
      <c r="AJ23" s="530">
        <v>24</v>
      </c>
      <c r="AK23" s="530">
        <v>7</v>
      </c>
      <c r="AL23" s="540">
        <v>21</v>
      </c>
      <c r="AM23" s="541">
        <v>30</v>
      </c>
      <c r="AN23" s="541">
        <v>5</v>
      </c>
      <c r="AO23" s="369"/>
      <c r="AP23" s="544">
        <v>13</v>
      </c>
      <c r="AQ23" s="545" t="s">
        <v>269</v>
      </c>
      <c r="AR23" s="546"/>
      <c r="AS23" s="547">
        <v>0.2</v>
      </c>
      <c r="AT23" s="548">
        <v>150</v>
      </c>
      <c r="AU23" s="521">
        <f>IF(AT23="","",AS23*AT23)</f>
        <v>30</v>
      </c>
      <c r="AV23" s="369"/>
      <c r="AW23" s="587">
        <f t="shared" si="7"/>
        <v>14</v>
      </c>
      <c r="AX23" s="496" t="str">
        <f t="shared" si="26"/>
        <v>Wintergerste Korn (13 % RP2)</v>
      </c>
      <c r="AY23" s="496" t="s">
        <v>270</v>
      </c>
      <c r="AZ23" s="499">
        <v>86</v>
      </c>
      <c r="BA23" s="499" t="s">
        <v>189</v>
      </c>
      <c r="BB23" s="579">
        <v>1.79</v>
      </c>
      <c r="BC23" s="524">
        <v>0.8</v>
      </c>
      <c r="BD23" s="525">
        <v>0.35</v>
      </c>
      <c r="BE23" s="588"/>
      <c r="BF23" s="589"/>
      <c r="BG23" s="589"/>
      <c r="BH23" s="590"/>
      <c r="BI23" s="369"/>
      <c r="BJ23" s="495">
        <v>14</v>
      </c>
      <c r="BK23" s="496" t="s">
        <v>271</v>
      </c>
      <c r="BL23" s="497">
        <v>89</v>
      </c>
      <c r="BM23" s="497"/>
      <c r="BN23" s="497"/>
      <c r="BO23" s="498">
        <v>6.01</v>
      </c>
      <c r="BP23" s="498">
        <v>2.2000000000000002</v>
      </c>
      <c r="BQ23" s="498">
        <v>0.97</v>
      </c>
      <c r="BR23" s="369"/>
      <c r="BS23" s="369"/>
      <c r="BT23" s="369"/>
      <c r="BU23" s="369"/>
      <c r="BV23" s="369"/>
      <c r="BW23" s="369"/>
      <c r="BX23" s="369"/>
      <c r="BY23" s="369"/>
      <c r="BZ23" s="369"/>
      <c r="CA23" s="527">
        <f>CA22+1</f>
        <v>14</v>
      </c>
      <c r="CB23" s="528"/>
      <c r="CC23" s="529"/>
      <c r="CD23" s="530"/>
      <c r="CE23" s="530"/>
      <c r="CF23" s="530"/>
      <c r="CG23" s="530"/>
      <c r="CH23" s="530"/>
      <c r="CI23" s="369"/>
      <c r="CJ23" s="369"/>
      <c r="CN23" s="368" t="str">
        <f t="shared" si="0"/>
        <v>Schweine</v>
      </c>
      <c r="CO23" s="505">
        <f t="shared" si="1"/>
        <v>13</v>
      </c>
      <c r="CP23" s="368" t="str">
        <f t="shared" si="9"/>
        <v>Ammonsulfatsalpeter</v>
      </c>
      <c r="CQ23" s="531">
        <f t="shared" si="10"/>
        <v>62</v>
      </c>
      <c r="CR23" s="368" t="str">
        <f t="shared" si="11"/>
        <v>Hühnermist RAM Gudendorf</v>
      </c>
      <c r="CS23" s="532">
        <f t="shared" si="12"/>
        <v>13</v>
      </c>
      <c r="CT23" s="368" t="str">
        <f t="shared" si="13"/>
        <v>Leguminosen-Zwischenfrucht b)</v>
      </c>
      <c r="CU23" s="505">
        <f t="shared" si="14"/>
        <v>13</v>
      </c>
      <c r="CV23" s="368" t="str">
        <f t="shared" si="15"/>
        <v>Wintergerste Korn + Stroh3 (12 % RP2)</v>
      </c>
      <c r="CW23" s="505">
        <f t="shared" si="16"/>
        <v>13</v>
      </c>
      <c r="CX23" s="368" t="str">
        <f t="shared" si="17"/>
        <v>Kartoffelschlempe, frisch</v>
      </c>
      <c r="CY23" s="505">
        <f t="shared" si="18"/>
        <v>13</v>
      </c>
      <c r="DA23" s="505"/>
      <c r="DB23" s="368">
        <f t="shared" si="21"/>
        <v>0</v>
      </c>
      <c r="DC23" s="532">
        <f t="shared" si="22"/>
        <v>13</v>
      </c>
    </row>
    <row r="24" spans="1:107" ht="18" customHeight="1" x14ac:dyDescent="0.2">
      <c r="A24" s="368"/>
      <c r="B24" s="369"/>
      <c r="C24" s="533">
        <f t="shared" si="23"/>
        <v>14</v>
      </c>
      <c r="D24" s="585" t="s">
        <v>272</v>
      </c>
      <c r="E24" s="534" t="s">
        <v>253</v>
      </c>
      <c r="F24" s="535">
        <v>48</v>
      </c>
      <c r="G24" s="536">
        <v>26</v>
      </c>
      <c r="H24" s="465">
        <f t="shared" si="2"/>
        <v>26</v>
      </c>
      <c r="I24" s="536">
        <v>43.3</v>
      </c>
      <c r="J24" s="465">
        <f t="shared" si="3"/>
        <v>30.309999999999995</v>
      </c>
      <c r="K24" s="536">
        <v>13.7</v>
      </c>
      <c r="L24" s="536">
        <v>6</v>
      </c>
      <c r="M24" s="536">
        <v>48</v>
      </c>
      <c r="N24" s="536"/>
      <c r="O24" s="536"/>
      <c r="P24" s="536"/>
      <c r="Q24" s="537">
        <v>1</v>
      </c>
      <c r="R24" s="538">
        <v>0.7</v>
      </c>
      <c r="S24" s="369"/>
      <c r="T24" s="511">
        <f t="shared" si="4"/>
        <v>64</v>
      </c>
      <c r="U24" s="496" t="s">
        <v>273</v>
      </c>
      <c r="V24" s="497">
        <v>21</v>
      </c>
      <c r="W24" s="497"/>
      <c r="X24" s="497"/>
      <c r="Y24" s="497"/>
      <c r="Z24" s="497">
        <v>24</v>
      </c>
      <c r="AA24" s="497">
        <v>-63</v>
      </c>
      <c r="AB24" s="512"/>
      <c r="AC24" s="369"/>
      <c r="AD24" s="527">
        <f t="shared" si="24"/>
        <v>14</v>
      </c>
      <c r="AE24" s="528" t="s">
        <v>274</v>
      </c>
      <c r="AF24" s="529"/>
      <c r="AG24" s="539">
        <v>50</v>
      </c>
      <c r="AH24" s="539">
        <v>83</v>
      </c>
      <c r="AI24" s="530">
        <f t="shared" si="5"/>
        <v>20.75</v>
      </c>
      <c r="AJ24" s="530">
        <v>25</v>
      </c>
      <c r="AK24" s="530">
        <v>8.4</v>
      </c>
      <c r="AL24" s="540">
        <v>20</v>
      </c>
      <c r="AM24" s="541">
        <v>15</v>
      </c>
      <c r="AN24" s="541">
        <v>6</v>
      </c>
      <c r="AO24" s="369"/>
      <c r="AP24" s="544">
        <v>14</v>
      </c>
      <c r="AQ24" s="545"/>
      <c r="AR24" s="546"/>
      <c r="AS24" s="547"/>
      <c r="AT24" s="548"/>
      <c r="AU24" s="521" t="str">
        <f>IF(AT24="","",AS24*AT24)</f>
        <v/>
      </c>
      <c r="AV24" s="369"/>
      <c r="AW24" s="495">
        <f t="shared" si="7"/>
        <v>15</v>
      </c>
      <c r="AX24" s="496" t="str">
        <f t="shared" si="26"/>
        <v>Wintergerste Stroh (13 % RP2)</v>
      </c>
      <c r="AY24" s="496" t="s">
        <v>275</v>
      </c>
      <c r="AZ24" s="499">
        <v>86</v>
      </c>
      <c r="BA24" s="499" t="s">
        <v>189</v>
      </c>
      <c r="BB24" s="579">
        <v>0.5</v>
      </c>
      <c r="BC24" s="524">
        <v>0.3</v>
      </c>
      <c r="BD24" s="525">
        <v>0.13</v>
      </c>
      <c r="BE24" s="526">
        <v>2.41</v>
      </c>
      <c r="BF24" s="493">
        <v>1</v>
      </c>
      <c r="BG24" s="493">
        <v>2.4</v>
      </c>
      <c r="BH24" s="494">
        <v>0.6</v>
      </c>
      <c r="BI24" s="369"/>
      <c r="BJ24" s="580">
        <v>15</v>
      </c>
      <c r="BK24" s="581" t="s">
        <v>276</v>
      </c>
      <c r="BL24" s="582">
        <v>90</v>
      </c>
      <c r="BM24" s="582"/>
      <c r="BN24" s="582"/>
      <c r="BO24" s="584">
        <v>5.92</v>
      </c>
      <c r="BP24" s="584">
        <v>2.06</v>
      </c>
      <c r="BQ24" s="584">
        <v>0.91</v>
      </c>
      <c r="BR24" s="369"/>
      <c r="BS24" s="369"/>
      <c r="BT24" s="369"/>
      <c r="BU24" s="369"/>
      <c r="BV24" s="369"/>
      <c r="BW24" s="369"/>
      <c r="BX24" s="369"/>
      <c r="BY24" s="369"/>
      <c r="BZ24" s="369"/>
      <c r="CB24" s="369"/>
      <c r="CC24" s="369"/>
      <c r="CD24" s="369"/>
      <c r="CE24" s="369"/>
      <c r="CF24" s="369"/>
      <c r="CG24" s="369"/>
      <c r="CH24" s="369"/>
      <c r="CI24" s="369"/>
      <c r="CJ24" s="369"/>
      <c r="CN24" s="368" t="str">
        <f t="shared" si="0"/>
        <v>Schafe</v>
      </c>
      <c r="CO24" s="505">
        <f t="shared" si="1"/>
        <v>14</v>
      </c>
      <c r="CP24" s="368" t="str">
        <f t="shared" si="9"/>
        <v>Entec 26</v>
      </c>
      <c r="CQ24" s="531">
        <f t="shared" si="10"/>
        <v>63</v>
      </c>
      <c r="CR24" s="368" t="str">
        <f t="shared" si="11"/>
        <v>Hühnertrockenkot</v>
      </c>
      <c r="CS24" s="532">
        <f t="shared" si="12"/>
        <v>14</v>
      </c>
      <c r="CT24" s="368">
        <f t="shared" si="13"/>
        <v>0</v>
      </c>
      <c r="CU24" s="505">
        <f t="shared" si="14"/>
        <v>14</v>
      </c>
      <c r="CV24" s="368" t="str">
        <f t="shared" si="15"/>
        <v>Wintergerste Korn (13 % RP2)</v>
      </c>
      <c r="CW24" s="505">
        <f t="shared" si="16"/>
        <v>14</v>
      </c>
      <c r="CX24" s="368" t="str">
        <f t="shared" si="17"/>
        <v>Leinextraktionsschrot</v>
      </c>
      <c r="CY24" s="505">
        <f t="shared" si="18"/>
        <v>14</v>
      </c>
      <c r="DA24" s="505"/>
      <c r="DB24" s="368">
        <f t="shared" si="21"/>
        <v>0</v>
      </c>
      <c r="DC24" s="532">
        <f t="shared" si="22"/>
        <v>14</v>
      </c>
    </row>
    <row r="25" spans="1:107" ht="18" customHeight="1" x14ac:dyDescent="0.2">
      <c r="A25" s="368"/>
      <c r="B25" s="369"/>
      <c r="C25" s="533">
        <f t="shared" si="23"/>
        <v>15</v>
      </c>
      <c r="D25" s="585" t="s">
        <v>277</v>
      </c>
      <c r="E25" s="534" t="s">
        <v>278</v>
      </c>
      <c r="F25" s="535">
        <v>96</v>
      </c>
      <c r="G25" s="536">
        <v>26</v>
      </c>
      <c r="H25" s="465">
        <f t="shared" si="2"/>
        <v>26</v>
      </c>
      <c r="I25" s="536">
        <v>93.3</v>
      </c>
      <c r="J25" s="465">
        <f t="shared" si="3"/>
        <v>65.31</v>
      </c>
      <c r="K25" s="536">
        <v>13.7</v>
      </c>
      <c r="L25" s="536">
        <v>6</v>
      </c>
      <c r="M25" s="536">
        <v>48</v>
      </c>
      <c r="N25" s="536"/>
      <c r="O25" s="536"/>
      <c r="P25" s="536"/>
      <c r="Q25" s="537">
        <v>1</v>
      </c>
      <c r="R25" s="538">
        <v>1</v>
      </c>
      <c r="S25" s="369"/>
      <c r="T25" s="511">
        <f t="shared" si="4"/>
        <v>65</v>
      </c>
      <c r="U25" s="496" t="s">
        <v>279</v>
      </c>
      <c r="V25" s="497">
        <v>20.5</v>
      </c>
      <c r="W25" s="497"/>
      <c r="X25" s="497"/>
      <c r="Y25" s="497"/>
      <c r="Z25" s="497"/>
      <c r="AA25" s="497">
        <v>39</v>
      </c>
      <c r="AB25" s="512"/>
      <c r="AC25" s="369"/>
      <c r="AD25" s="527">
        <f t="shared" si="24"/>
        <v>15</v>
      </c>
      <c r="AE25" s="528" t="s">
        <v>280</v>
      </c>
      <c r="AF25" s="529"/>
      <c r="AG25" s="539">
        <v>50</v>
      </c>
      <c r="AH25" s="539">
        <v>83</v>
      </c>
      <c r="AI25" s="530">
        <f t="shared" si="5"/>
        <v>19.920000000000002</v>
      </c>
      <c r="AJ25" s="530">
        <v>24</v>
      </c>
      <c r="AK25" s="530">
        <v>8.4</v>
      </c>
      <c r="AL25" s="540">
        <v>14</v>
      </c>
      <c r="AM25" s="541">
        <v>15</v>
      </c>
      <c r="AN25" s="541">
        <v>6</v>
      </c>
      <c r="AO25" s="369"/>
      <c r="AP25" s="544">
        <v>15</v>
      </c>
      <c r="AQ25" s="545"/>
      <c r="AR25" s="546"/>
      <c r="AS25" s="547"/>
      <c r="AT25" s="548"/>
      <c r="AU25" s="521" t="str">
        <f>IF(AT25="","",AS25*AT25)</f>
        <v/>
      </c>
      <c r="AV25" s="369"/>
      <c r="AW25" s="495">
        <f t="shared" si="7"/>
        <v>16</v>
      </c>
      <c r="AX25" s="554" t="str">
        <f t="shared" si="26"/>
        <v>Wintergerste Korn + Stroh3 (13 % RP2)</v>
      </c>
      <c r="AY25" s="554" t="s">
        <v>281</v>
      </c>
      <c r="AZ25" s="591" t="s">
        <v>189</v>
      </c>
      <c r="BA25" s="591">
        <v>0.7</v>
      </c>
      <c r="BB25" s="592">
        <v>2.14</v>
      </c>
      <c r="BC25" s="558">
        <v>1.01</v>
      </c>
      <c r="BD25" s="559">
        <v>0.44</v>
      </c>
      <c r="BE25" s="526">
        <v>1.6</v>
      </c>
      <c r="BF25" s="493">
        <v>1.2</v>
      </c>
      <c r="BG25" s="493">
        <v>2.4</v>
      </c>
      <c r="BH25" s="494">
        <v>0.8</v>
      </c>
      <c r="BI25" s="369"/>
      <c r="BJ25" s="593">
        <f t="shared" ref="BJ25:BJ69" si="27">BJ24+1</f>
        <v>16</v>
      </c>
      <c r="BK25" s="470" t="s">
        <v>282</v>
      </c>
      <c r="BL25" s="594">
        <v>90</v>
      </c>
      <c r="BM25" s="594"/>
      <c r="BN25" s="594"/>
      <c r="BO25" s="594">
        <v>2.96</v>
      </c>
      <c r="BP25" s="594">
        <v>0.8</v>
      </c>
      <c r="BQ25" s="594">
        <v>0.35</v>
      </c>
      <c r="BR25" s="369"/>
      <c r="BS25" s="369"/>
      <c r="BT25" s="369"/>
      <c r="BU25" s="369"/>
      <c r="BV25" s="369"/>
      <c r="BW25" s="369"/>
      <c r="BX25" s="369"/>
      <c r="BY25" s="369"/>
      <c r="BZ25" s="369"/>
      <c r="CB25" s="369"/>
      <c r="CC25" s="369"/>
      <c r="CD25" s="369"/>
      <c r="CE25" s="369"/>
      <c r="CF25" s="369"/>
      <c r="CG25" s="369"/>
      <c r="CH25" s="369"/>
      <c r="CI25" s="369"/>
      <c r="CJ25" s="369"/>
      <c r="CN25" s="368" t="str">
        <f t="shared" si="0"/>
        <v>Ziegen</v>
      </c>
      <c r="CO25" s="505">
        <f t="shared" si="1"/>
        <v>15</v>
      </c>
      <c r="CP25" s="368" t="str">
        <f t="shared" si="9"/>
        <v>Schwefelsaures Ammoniak</v>
      </c>
      <c r="CQ25" s="531">
        <f t="shared" si="10"/>
        <v>64</v>
      </c>
      <c r="CR25" s="368" t="str">
        <f t="shared" si="11"/>
        <v>Hühnertrockenkot (RAM)</v>
      </c>
      <c r="CS25" s="532">
        <f t="shared" si="12"/>
        <v>15</v>
      </c>
      <c r="CT25" s="368">
        <f t="shared" si="13"/>
        <v>0</v>
      </c>
      <c r="CU25" s="505">
        <f t="shared" si="14"/>
        <v>15</v>
      </c>
      <c r="CV25" s="368" t="str">
        <f t="shared" si="15"/>
        <v>Wintergerste Stroh (13 % RP2)</v>
      </c>
      <c r="CW25" s="505">
        <f t="shared" si="16"/>
        <v>15</v>
      </c>
      <c r="CX25" s="368" t="str">
        <f t="shared" si="17"/>
        <v>Leinkuchen</v>
      </c>
      <c r="CY25" s="505">
        <f t="shared" si="18"/>
        <v>15</v>
      </c>
      <c r="DA25" s="505"/>
      <c r="DC25" s="532"/>
    </row>
    <row r="26" spans="1:107" ht="18" customHeight="1" x14ac:dyDescent="0.2">
      <c r="A26" s="368"/>
      <c r="B26" s="369"/>
      <c r="C26" s="533">
        <f t="shared" si="23"/>
        <v>16</v>
      </c>
      <c r="D26" s="585" t="s">
        <v>283</v>
      </c>
      <c r="E26" s="534" t="s">
        <v>284</v>
      </c>
      <c r="F26" s="535"/>
      <c r="G26" s="536">
        <v>27</v>
      </c>
      <c r="H26" s="465">
        <f t="shared" si="2"/>
        <v>27</v>
      </c>
      <c r="I26" s="536">
        <v>104.6</v>
      </c>
      <c r="J26" s="465">
        <f t="shared" si="3"/>
        <v>73.22</v>
      </c>
      <c r="K26" s="536">
        <v>20.6</v>
      </c>
      <c r="L26" s="536">
        <v>9</v>
      </c>
      <c r="M26" s="536"/>
      <c r="N26" s="536"/>
      <c r="O26" s="536"/>
      <c r="P26" s="536"/>
      <c r="Q26" s="537">
        <v>1</v>
      </c>
      <c r="R26" s="538">
        <v>1</v>
      </c>
      <c r="S26" s="369"/>
      <c r="T26" s="511">
        <f t="shared" si="4"/>
        <v>66</v>
      </c>
      <c r="U26" s="496" t="s">
        <v>285</v>
      </c>
      <c r="V26" s="497">
        <v>19.8</v>
      </c>
      <c r="W26" s="497"/>
      <c r="X26" s="497"/>
      <c r="Y26" s="497"/>
      <c r="Z26" s="497"/>
      <c r="AA26" s="497">
        <v>35</v>
      </c>
      <c r="AB26" s="512"/>
      <c r="AC26" s="369"/>
      <c r="AD26" s="527">
        <f t="shared" si="24"/>
        <v>16</v>
      </c>
      <c r="AE26" s="528" t="s">
        <v>286</v>
      </c>
      <c r="AF26" s="529"/>
      <c r="AG26" s="539">
        <v>50</v>
      </c>
      <c r="AH26" s="539">
        <v>83</v>
      </c>
      <c r="AI26" s="530">
        <f t="shared" si="5"/>
        <v>18.260000000000002</v>
      </c>
      <c r="AJ26" s="530">
        <v>22</v>
      </c>
      <c r="AK26" s="530">
        <v>4.5</v>
      </c>
      <c r="AL26" s="540">
        <v>23</v>
      </c>
      <c r="AM26" s="541">
        <v>23</v>
      </c>
      <c r="AN26" s="541">
        <v>3</v>
      </c>
      <c r="AO26" s="369"/>
      <c r="AP26" s="573"/>
      <c r="AQ26" s="574" t="s">
        <v>287</v>
      </c>
      <c r="AR26" s="575"/>
      <c r="AS26" s="595"/>
      <c r="AT26" s="577"/>
      <c r="AU26" s="578"/>
      <c r="AV26" s="369"/>
      <c r="AW26" s="495">
        <f t="shared" si="7"/>
        <v>17</v>
      </c>
      <c r="AX26" s="564" t="str">
        <f t="shared" ref="AX26:AX31" si="28">CONCATENATE("Roggen ",AY26)</f>
        <v>Roggen Korn (11 % RP2)</v>
      </c>
      <c r="AY26" s="564" t="s">
        <v>288</v>
      </c>
      <c r="AZ26" s="596">
        <v>86</v>
      </c>
      <c r="BA26" s="596" t="s">
        <v>189</v>
      </c>
      <c r="BB26" s="597">
        <v>1.51</v>
      </c>
      <c r="BC26" s="568">
        <v>0.8</v>
      </c>
      <c r="BD26" s="569">
        <v>0.35</v>
      </c>
      <c r="BE26" s="526">
        <v>0.4</v>
      </c>
      <c r="BF26" s="493">
        <v>0.3</v>
      </c>
      <c r="BG26" s="493">
        <v>0.56999999999999995</v>
      </c>
      <c r="BH26" s="494">
        <v>0.2</v>
      </c>
      <c r="BI26" s="369"/>
      <c r="BJ26" s="593">
        <f t="shared" si="27"/>
        <v>17</v>
      </c>
      <c r="BK26" s="470" t="s">
        <v>289</v>
      </c>
      <c r="BL26" s="594">
        <v>8.5</v>
      </c>
      <c r="BM26" s="594"/>
      <c r="BN26" s="594"/>
      <c r="BO26" s="594">
        <v>5.76</v>
      </c>
      <c r="BP26" s="594">
        <v>2.29</v>
      </c>
      <c r="BQ26" s="594">
        <v>1.01</v>
      </c>
      <c r="BR26" s="369"/>
      <c r="BS26" s="369"/>
      <c r="BT26" s="369"/>
      <c r="BU26" s="369"/>
      <c r="BV26" s="369"/>
      <c r="BW26" s="369"/>
      <c r="BX26" s="369"/>
      <c r="BY26" s="369"/>
      <c r="BZ26" s="369"/>
      <c r="CB26" s="369"/>
      <c r="CC26" s="369"/>
      <c r="CD26" s="369"/>
      <c r="CE26" s="369"/>
      <c r="CF26" s="369"/>
      <c r="CG26" s="369"/>
      <c r="CH26" s="369"/>
      <c r="CI26" s="369"/>
      <c r="CJ26" s="369"/>
      <c r="CN26" s="368" t="str">
        <f t="shared" si="0"/>
        <v>Pferde bis 5 Monate</v>
      </c>
      <c r="CO26" s="505">
        <f t="shared" si="1"/>
        <v>16</v>
      </c>
      <c r="CP26" s="368" t="str">
        <f t="shared" si="9"/>
        <v>Kalkstickstoff</v>
      </c>
      <c r="CQ26" s="531">
        <f t="shared" si="10"/>
        <v>65</v>
      </c>
      <c r="CR26" s="368" t="str">
        <f t="shared" si="11"/>
        <v>Putenmist</v>
      </c>
      <c r="CS26" s="532">
        <f t="shared" si="12"/>
        <v>16</v>
      </c>
      <c r="CT26" s="368" t="str">
        <f t="shared" si="13"/>
        <v>Sonstige</v>
      </c>
      <c r="CU26" s="505">
        <f t="shared" si="14"/>
        <v>0</v>
      </c>
      <c r="CV26" s="368" t="str">
        <f t="shared" si="15"/>
        <v>Wintergerste Korn + Stroh3 (13 % RP2)</v>
      </c>
      <c r="CW26" s="505">
        <f t="shared" si="16"/>
        <v>16</v>
      </c>
      <c r="CX26" s="368" t="str">
        <f t="shared" si="17"/>
        <v>Luzernegrünmehl</v>
      </c>
      <c r="CY26" s="505">
        <f t="shared" si="18"/>
        <v>16</v>
      </c>
    </row>
    <row r="27" spans="1:107" ht="18" customHeight="1" x14ac:dyDescent="0.2">
      <c r="A27" s="368"/>
      <c r="B27" s="369"/>
      <c r="C27" s="533">
        <f t="shared" si="23"/>
        <v>17</v>
      </c>
      <c r="D27" s="585" t="s">
        <v>290</v>
      </c>
      <c r="E27" s="534" t="s">
        <v>291</v>
      </c>
      <c r="F27" s="535">
        <v>115</v>
      </c>
      <c r="G27" s="536">
        <v>30</v>
      </c>
      <c r="H27" s="465">
        <f t="shared" si="2"/>
        <v>30</v>
      </c>
      <c r="I27" s="536">
        <v>119.9</v>
      </c>
      <c r="J27" s="465">
        <f t="shared" si="3"/>
        <v>83.93</v>
      </c>
      <c r="K27" s="536">
        <v>17.399999999999999</v>
      </c>
      <c r="L27" s="536">
        <v>7.6</v>
      </c>
      <c r="M27" s="536"/>
      <c r="N27" s="536"/>
      <c r="O27" s="536"/>
      <c r="P27" s="536"/>
      <c r="Q27" s="537">
        <v>1</v>
      </c>
      <c r="R27" s="538">
        <v>1</v>
      </c>
      <c r="S27" s="369"/>
      <c r="T27" s="511">
        <f t="shared" si="4"/>
        <v>67</v>
      </c>
      <c r="U27" s="496" t="s">
        <v>292</v>
      </c>
      <c r="V27" s="497">
        <v>23</v>
      </c>
      <c r="W27" s="497"/>
      <c r="X27" s="497"/>
      <c r="Y27" s="497"/>
      <c r="Z27" s="497"/>
      <c r="AA27" s="497"/>
      <c r="AB27" s="512"/>
      <c r="AC27" s="369"/>
      <c r="AD27" s="527">
        <f t="shared" si="24"/>
        <v>17</v>
      </c>
      <c r="AE27" s="528" t="s">
        <v>293</v>
      </c>
      <c r="AF27" s="529"/>
      <c r="AG27" s="539">
        <v>50</v>
      </c>
      <c r="AH27" s="539">
        <v>83</v>
      </c>
      <c r="AI27" s="530">
        <f t="shared" si="5"/>
        <v>16.600000000000001</v>
      </c>
      <c r="AJ27" s="530">
        <v>20</v>
      </c>
      <c r="AK27" s="530">
        <v>4</v>
      </c>
      <c r="AL27" s="540">
        <v>13</v>
      </c>
      <c r="AM27" s="541">
        <v>23</v>
      </c>
      <c r="AN27" s="541">
        <v>3</v>
      </c>
      <c r="AO27" s="369"/>
      <c r="AP27" s="516">
        <v>16</v>
      </c>
      <c r="AQ27" s="598" t="s">
        <v>294</v>
      </c>
      <c r="AR27" s="599"/>
      <c r="AS27" s="596"/>
      <c r="AT27" s="520"/>
      <c r="AU27" s="521" t="str">
        <f t="shared" ref="AU27:AU34" si="29">IF(AT27="","",AS27*AT27)</f>
        <v/>
      </c>
      <c r="AV27" s="369"/>
      <c r="AW27" s="495">
        <f t="shared" si="7"/>
        <v>18</v>
      </c>
      <c r="AX27" s="496" t="str">
        <f t="shared" si="28"/>
        <v>Roggen Stroh (11 % RP2)</v>
      </c>
      <c r="AY27" s="496" t="s">
        <v>295</v>
      </c>
      <c r="AZ27" s="499">
        <v>86</v>
      </c>
      <c r="BA27" s="499" t="s">
        <v>189</v>
      </c>
      <c r="BB27" s="579">
        <v>0.5</v>
      </c>
      <c r="BC27" s="524">
        <v>0.3</v>
      </c>
      <c r="BD27" s="525">
        <v>0.13</v>
      </c>
      <c r="BE27" s="526"/>
      <c r="BF27" s="493"/>
      <c r="BG27" s="493"/>
      <c r="BH27" s="494"/>
      <c r="BI27" s="369"/>
      <c r="BJ27" s="593">
        <f t="shared" si="27"/>
        <v>18</v>
      </c>
      <c r="BK27" s="470" t="s">
        <v>296</v>
      </c>
      <c r="BL27" s="594">
        <v>89</v>
      </c>
      <c r="BM27" s="594"/>
      <c r="BN27" s="594"/>
      <c r="BO27" s="594">
        <v>4</v>
      </c>
      <c r="BP27" s="594">
        <v>1.6</v>
      </c>
      <c r="BQ27" s="594">
        <v>0.71</v>
      </c>
      <c r="BR27" s="369"/>
      <c r="BS27" s="369"/>
      <c r="BT27" s="369"/>
      <c r="BU27" s="369"/>
      <c r="BV27" s="369"/>
      <c r="BW27" s="369"/>
      <c r="BX27" s="369"/>
      <c r="BY27" s="369"/>
      <c r="BZ27" s="369"/>
      <c r="CB27" s="369"/>
      <c r="CC27" s="369"/>
      <c r="CD27" s="369"/>
      <c r="CE27" s="369"/>
      <c r="CF27" s="369"/>
      <c r="CG27" s="369"/>
      <c r="CH27" s="369"/>
      <c r="CI27" s="369"/>
      <c r="CJ27" s="369"/>
      <c r="CN27" s="368" t="str">
        <f t="shared" si="0"/>
        <v>Pferde 5-36 Monate</v>
      </c>
      <c r="CO27" s="505">
        <f t="shared" si="1"/>
        <v>17</v>
      </c>
      <c r="CP27" s="368" t="str">
        <f t="shared" si="9"/>
        <v>Perlkalkstickstoff</v>
      </c>
      <c r="CQ27" s="531">
        <f t="shared" si="10"/>
        <v>66</v>
      </c>
      <c r="CR27" s="368" t="str">
        <f t="shared" si="11"/>
        <v>Putenmist (RAM)</v>
      </c>
      <c r="CS27" s="532">
        <f t="shared" si="12"/>
        <v>17</v>
      </c>
      <c r="CT27" s="368" t="str">
        <f t="shared" si="13"/>
        <v>Grünland mit Leg.-Anteil 10 %</v>
      </c>
      <c r="CU27" s="505">
        <f t="shared" si="14"/>
        <v>16</v>
      </c>
      <c r="CV27" s="368" t="str">
        <f t="shared" si="15"/>
        <v>Roggen Korn (11 % RP2)</v>
      </c>
      <c r="CW27" s="505">
        <f t="shared" si="16"/>
        <v>17</v>
      </c>
      <c r="CX27" s="368" t="str">
        <f t="shared" si="17"/>
        <v>Magermilch, frisch</v>
      </c>
      <c r="CY27" s="505">
        <f t="shared" si="18"/>
        <v>17</v>
      </c>
    </row>
    <row r="28" spans="1:107" ht="18" customHeight="1" x14ac:dyDescent="0.2">
      <c r="A28" s="368"/>
      <c r="B28" s="369"/>
      <c r="C28" s="533">
        <f t="shared" si="23"/>
        <v>18</v>
      </c>
      <c r="D28" s="585" t="s">
        <v>297</v>
      </c>
      <c r="E28" s="534" t="s">
        <v>278</v>
      </c>
      <c r="F28" s="535"/>
      <c r="G28" s="536">
        <v>35</v>
      </c>
      <c r="H28" s="465">
        <f t="shared" si="2"/>
        <v>35</v>
      </c>
      <c r="I28" s="536">
        <v>74.3</v>
      </c>
      <c r="J28" s="465">
        <f t="shared" si="3"/>
        <v>52.01</v>
      </c>
      <c r="K28" s="536">
        <v>12.8</v>
      </c>
      <c r="L28" s="536">
        <v>5.6</v>
      </c>
      <c r="M28" s="536"/>
      <c r="N28" s="536"/>
      <c r="O28" s="536"/>
      <c r="P28" s="536"/>
      <c r="Q28" s="537">
        <v>1</v>
      </c>
      <c r="R28" s="538">
        <v>1</v>
      </c>
      <c r="S28" s="369"/>
      <c r="T28" s="511">
        <f t="shared" si="4"/>
        <v>68</v>
      </c>
      <c r="U28" s="496"/>
      <c r="V28" s="497"/>
      <c r="W28" s="497"/>
      <c r="X28" s="497"/>
      <c r="Y28" s="497"/>
      <c r="Z28" s="497"/>
      <c r="AA28" s="497"/>
      <c r="AB28" s="512"/>
      <c r="AC28" s="369"/>
      <c r="AD28" s="527">
        <f t="shared" si="24"/>
        <v>18</v>
      </c>
      <c r="AE28" s="528" t="s">
        <v>298</v>
      </c>
      <c r="AF28" s="529"/>
      <c r="AG28" s="539">
        <v>30</v>
      </c>
      <c r="AH28" s="539">
        <v>91</v>
      </c>
      <c r="AI28" s="530">
        <f t="shared" si="5"/>
        <v>0</v>
      </c>
      <c r="AJ28" s="530">
        <f>IF(I93="",0,IF(O93="",0,I93/O93))</f>
        <v>0</v>
      </c>
      <c r="AK28" s="530">
        <v>4</v>
      </c>
      <c r="AL28" s="540">
        <v>3</v>
      </c>
      <c r="AM28" s="541">
        <v>11</v>
      </c>
      <c r="AN28" s="541">
        <v>1</v>
      </c>
      <c r="AO28" s="369"/>
      <c r="AP28" s="495">
        <v>17</v>
      </c>
      <c r="AQ28" s="600" t="s">
        <v>299</v>
      </c>
      <c r="AR28" s="601"/>
      <c r="AS28" s="499"/>
      <c r="AT28" s="542"/>
      <c r="AU28" s="521" t="str">
        <f t="shared" si="29"/>
        <v/>
      </c>
      <c r="AV28" s="382"/>
      <c r="AW28" s="495">
        <f t="shared" si="7"/>
        <v>19</v>
      </c>
      <c r="AX28" s="496" t="str">
        <f t="shared" si="28"/>
        <v>Roggen Korn + Stroh3 (11 % RP2)</v>
      </c>
      <c r="AY28" s="496" t="s">
        <v>300</v>
      </c>
      <c r="AZ28" s="499" t="s">
        <v>189</v>
      </c>
      <c r="BA28" s="499" t="s">
        <v>301</v>
      </c>
      <c r="BB28" s="579">
        <v>1.96</v>
      </c>
      <c r="BC28" s="524">
        <v>1.07</v>
      </c>
      <c r="BD28" s="525">
        <v>0.47</v>
      </c>
      <c r="BE28" s="526"/>
      <c r="BF28" s="493"/>
      <c r="BG28" s="493"/>
      <c r="BH28" s="494"/>
      <c r="BI28" s="369"/>
      <c r="BJ28" s="593">
        <f t="shared" si="27"/>
        <v>19</v>
      </c>
      <c r="BK28" s="470" t="s">
        <v>302</v>
      </c>
      <c r="BL28" s="594">
        <v>90</v>
      </c>
      <c r="BM28" s="594"/>
      <c r="BN28" s="594"/>
      <c r="BO28" s="594">
        <v>4</v>
      </c>
      <c r="BP28" s="594">
        <v>1.95</v>
      </c>
      <c r="BQ28" s="594">
        <v>0.86</v>
      </c>
      <c r="BR28" s="369"/>
      <c r="BS28" s="369"/>
      <c r="BT28" s="369"/>
      <c r="BU28" s="369"/>
      <c r="BV28" s="369"/>
      <c r="BW28" s="369"/>
      <c r="BX28" s="369"/>
      <c r="BY28" s="369"/>
      <c r="BZ28" s="369"/>
      <c r="CB28" s="369"/>
      <c r="CC28" s="369"/>
      <c r="CD28" s="369"/>
      <c r="CE28" s="369"/>
      <c r="CF28" s="369"/>
      <c r="CG28" s="369"/>
      <c r="CH28" s="369"/>
      <c r="CI28" s="369"/>
      <c r="CJ28" s="369"/>
      <c r="CN28" s="368" t="str">
        <f t="shared" si="0"/>
        <v>Legehennen</v>
      </c>
      <c r="CO28" s="505">
        <f t="shared" si="1"/>
        <v>18</v>
      </c>
      <c r="CP28" s="368" t="str">
        <f t="shared" si="9"/>
        <v>N23+Bor</v>
      </c>
      <c r="CQ28" s="531">
        <f t="shared" si="10"/>
        <v>67</v>
      </c>
      <c r="CR28" s="368" t="str">
        <f t="shared" si="11"/>
        <v>Pferdemist</v>
      </c>
      <c r="CS28" s="532">
        <f t="shared" si="12"/>
        <v>18</v>
      </c>
      <c r="CT28" s="368" t="str">
        <f t="shared" si="13"/>
        <v>Grünland mit Leg.-Anteil 20 %</v>
      </c>
      <c r="CU28" s="505">
        <f t="shared" si="14"/>
        <v>17</v>
      </c>
      <c r="CV28" s="368" t="str">
        <f t="shared" si="15"/>
        <v>Roggen Stroh (11 % RP2)</v>
      </c>
      <c r="CW28" s="505">
        <f t="shared" si="16"/>
        <v>18</v>
      </c>
      <c r="CX28" s="368" t="str">
        <f t="shared" si="17"/>
        <v>Maiskeimextraktionsschrot (aus der Stärkeindustrie)</v>
      </c>
      <c r="CY28" s="505">
        <f t="shared" si="18"/>
        <v>18</v>
      </c>
    </row>
    <row r="29" spans="1:107" ht="18" customHeight="1" x14ac:dyDescent="0.2">
      <c r="A29" s="368"/>
      <c r="B29" s="369"/>
      <c r="C29" s="533">
        <f t="shared" si="23"/>
        <v>19</v>
      </c>
      <c r="D29" s="585" t="s">
        <v>303</v>
      </c>
      <c r="E29" s="534" t="s">
        <v>284</v>
      </c>
      <c r="F29" s="535">
        <v>134</v>
      </c>
      <c r="G29" s="536">
        <v>30</v>
      </c>
      <c r="H29" s="465">
        <f t="shared" si="2"/>
        <v>30</v>
      </c>
      <c r="I29" s="536">
        <v>87.6</v>
      </c>
      <c r="J29" s="465">
        <f t="shared" si="3"/>
        <v>61.319999999999993</v>
      </c>
      <c r="K29" s="536">
        <v>9.1999999999999993</v>
      </c>
      <c r="L29" s="536">
        <v>4</v>
      </c>
      <c r="M29" s="536"/>
      <c r="N29" s="536"/>
      <c r="O29" s="536"/>
      <c r="P29" s="536"/>
      <c r="Q29" s="537">
        <v>1</v>
      </c>
      <c r="R29" s="538">
        <v>1</v>
      </c>
      <c r="S29" s="369"/>
      <c r="T29" s="511">
        <f t="shared" si="4"/>
        <v>69</v>
      </c>
      <c r="U29" s="496"/>
      <c r="V29" s="497"/>
      <c r="W29" s="497"/>
      <c r="X29" s="497"/>
      <c r="Y29" s="497"/>
      <c r="Z29" s="497"/>
      <c r="AA29" s="497"/>
      <c r="AB29" s="512"/>
      <c r="AC29" s="369"/>
      <c r="AD29" s="527">
        <f t="shared" si="24"/>
        <v>19</v>
      </c>
      <c r="AE29" s="528" t="s">
        <v>304</v>
      </c>
      <c r="AF29" s="529"/>
      <c r="AG29" s="539">
        <v>30</v>
      </c>
      <c r="AH29" s="539">
        <v>83</v>
      </c>
      <c r="AI29" s="530">
        <f t="shared" si="5"/>
        <v>0</v>
      </c>
      <c r="AJ29" s="530">
        <f>IF(I82="",0,IF(O82="",0,I82/O82))</f>
        <v>0</v>
      </c>
      <c r="AK29" s="530">
        <v>8</v>
      </c>
      <c r="AL29" s="540">
        <v>7</v>
      </c>
      <c r="AM29" s="541">
        <v>7</v>
      </c>
      <c r="AN29" s="541">
        <v>1</v>
      </c>
      <c r="AO29" s="369"/>
      <c r="AP29" s="495">
        <v>18</v>
      </c>
      <c r="AQ29" s="600" t="s">
        <v>305</v>
      </c>
      <c r="AR29" s="601"/>
      <c r="AS29" s="499"/>
      <c r="AT29" s="542"/>
      <c r="AU29" s="521" t="str">
        <f t="shared" si="29"/>
        <v/>
      </c>
      <c r="AV29" s="382"/>
      <c r="AW29" s="587">
        <f t="shared" si="7"/>
        <v>20</v>
      </c>
      <c r="AX29" s="496" t="str">
        <f t="shared" si="28"/>
        <v>Roggen Korn (12 % RP2)</v>
      </c>
      <c r="AY29" s="496" t="s">
        <v>188</v>
      </c>
      <c r="AZ29" s="499">
        <v>86</v>
      </c>
      <c r="BA29" s="499" t="s">
        <v>189</v>
      </c>
      <c r="BB29" s="579">
        <v>1.65</v>
      </c>
      <c r="BC29" s="524">
        <v>0.8</v>
      </c>
      <c r="BD29" s="525">
        <v>0.35</v>
      </c>
      <c r="BE29" s="588"/>
      <c r="BF29" s="589"/>
      <c r="BG29" s="589"/>
      <c r="BH29" s="590"/>
      <c r="BI29" s="369"/>
      <c r="BJ29" s="593">
        <f t="shared" si="27"/>
        <v>20</v>
      </c>
      <c r="BK29" s="470" t="s">
        <v>306</v>
      </c>
      <c r="BL29" s="594">
        <v>92</v>
      </c>
      <c r="BM29" s="594"/>
      <c r="BN29" s="594"/>
      <c r="BO29" s="594">
        <v>0.43</v>
      </c>
      <c r="BP29" s="594">
        <v>1.83</v>
      </c>
      <c r="BQ29" s="594">
        <v>0.81</v>
      </c>
      <c r="BR29" s="369"/>
      <c r="BS29" s="369"/>
      <c r="BT29" s="369"/>
      <c r="BU29" s="369"/>
      <c r="BV29" s="369"/>
      <c r="BW29" s="369"/>
      <c r="BX29" s="369"/>
      <c r="BY29" s="369"/>
      <c r="BZ29" s="369"/>
      <c r="CB29" s="369"/>
      <c r="CC29" s="369"/>
      <c r="CD29" s="369"/>
      <c r="CE29" s="369"/>
      <c r="CF29" s="369"/>
      <c r="CG29" s="369"/>
      <c r="CH29" s="369"/>
      <c r="CI29" s="369"/>
      <c r="CJ29" s="369"/>
      <c r="CN29" s="368" t="str">
        <f t="shared" si="0"/>
        <v>Masthähnchen</v>
      </c>
      <c r="CO29" s="505">
        <f t="shared" si="1"/>
        <v>19</v>
      </c>
      <c r="CP29" s="368">
        <f t="shared" si="9"/>
        <v>0</v>
      </c>
      <c r="CQ29" s="531">
        <f t="shared" si="10"/>
        <v>68</v>
      </c>
      <c r="CR29" s="368" t="str">
        <f t="shared" si="11"/>
        <v>Entenmist</v>
      </c>
      <c r="CS29" s="532">
        <f t="shared" si="12"/>
        <v>19</v>
      </c>
      <c r="CT29" s="368" t="str">
        <f t="shared" si="13"/>
        <v>Grünland mit Leg.-Anteil 30 %</v>
      </c>
      <c r="CU29" s="505">
        <f t="shared" si="14"/>
        <v>18</v>
      </c>
      <c r="CV29" s="368" t="str">
        <f t="shared" si="15"/>
        <v>Roggen Korn + Stroh3 (11 % RP2)</v>
      </c>
      <c r="CW29" s="505">
        <f t="shared" si="16"/>
        <v>19</v>
      </c>
      <c r="CX29" s="368" t="str">
        <f t="shared" si="17"/>
        <v>Maiskleberfutter (23-35 % RP)</v>
      </c>
      <c r="CY29" s="505">
        <f t="shared" si="18"/>
        <v>19</v>
      </c>
    </row>
    <row r="30" spans="1:107" ht="18" customHeight="1" x14ac:dyDescent="0.2">
      <c r="A30" s="368"/>
      <c r="B30" s="369"/>
      <c r="C30" s="533">
        <f t="shared" si="23"/>
        <v>20</v>
      </c>
      <c r="D30" s="585" t="s">
        <v>307</v>
      </c>
      <c r="E30" s="534" t="s">
        <v>291</v>
      </c>
      <c r="F30" s="535"/>
      <c r="G30" s="536">
        <v>33</v>
      </c>
      <c r="H30" s="465">
        <f t="shared" si="2"/>
        <v>33</v>
      </c>
      <c r="I30" s="536">
        <v>105.9</v>
      </c>
      <c r="J30" s="465">
        <f t="shared" si="3"/>
        <v>74.13000000000001</v>
      </c>
      <c r="K30" s="536">
        <v>11.7</v>
      </c>
      <c r="L30" s="536">
        <v>5.0999999999999996</v>
      </c>
      <c r="M30" s="536"/>
      <c r="N30" s="536"/>
      <c r="O30" s="536"/>
      <c r="P30" s="536"/>
      <c r="Q30" s="537">
        <v>1</v>
      </c>
      <c r="R30" s="538">
        <v>1</v>
      </c>
      <c r="S30" s="369"/>
      <c r="T30" s="511">
        <f t="shared" si="4"/>
        <v>70</v>
      </c>
      <c r="U30" s="602" t="s">
        <v>308</v>
      </c>
      <c r="V30" s="603">
        <v>18</v>
      </c>
      <c r="W30" s="603">
        <v>46</v>
      </c>
      <c r="X30" s="603"/>
      <c r="Y30" s="603"/>
      <c r="Z30" s="603"/>
      <c r="AA30" s="603">
        <v>-38</v>
      </c>
      <c r="AB30" s="604">
        <v>28</v>
      </c>
      <c r="AC30" s="369"/>
      <c r="AD30" s="527">
        <f t="shared" si="24"/>
        <v>20</v>
      </c>
      <c r="AE30" s="528" t="s">
        <v>309</v>
      </c>
      <c r="AF30" s="529"/>
      <c r="AG30" s="539">
        <v>30</v>
      </c>
      <c r="AH30" s="539">
        <v>83</v>
      </c>
      <c r="AI30" s="530">
        <f t="shared" si="5"/>
        <v>0</v>
      </c>
      <c r="AJ30" s="530">
        <f>IF(I85="",0,IF(O85="",0,I85/O85))</f>
        <v>0</v>
      </c>
      <c r="AK30" s="530">
        <v>8</v>
      </c>
      <c r="AL30" s="540">
        <v>6</v>
      </c>
      <c r="AM30" s="541">
        <v>11</v>
      </c>
      <c r="AN30" s="541">
        <v>0</v>
      </c>
      <c r="AO30" s="369"/>
      <c r="AP30" s="495">
        <v>19</v>
      </c>
      <c r="AQ30" s="600" t="s">
        <v>310</v>
      </c>
      <c r="AR30" s="601"/>
      <c r="AS30" s="499"/>
      <c r="AT30" s="542"/>
      <c r="AU30" s="521" t="str">
        <f t="shared" si="29"/>
        <v/>
      </c>
      <c r="AV30" s="382"/>
      <c r="AW30" s="495">
        <f t="shared" si="7"/>
        <v>21</v>
      </c>
      <c r="AX30" s="496" t="str">
        <f t="shared" si="28"/>
        <v>Roggen Stroh (12 % RP2)</v>
      </c>
      <c r="AY30" s="496" t="s">
        <v>197</v>
      </c>
      <c r="AZ30" s="499">
        <v>86</v>
      </c>
      <c r="BA30" s="499" t="s">
        <v>189</v>
      </c>
      <c r="BB30" s="579">
        <v>0.5</v>
      </c>
      <c r="BC30" s="524">
        <v>0.3</v>
      </c>
      <c r="BD30" s="525">
        <v>0.13</v>
      </c>
      <c r="BE30" s="526">
        <v>1.75</v>
      </c>
      <c r="BF30" s="493">
        <v>2</v>
      </c>
      <c r="BG30" s="493">
        <v>4.5</v>
      </c>
      <c r="BH30" s="494">
        <v>1.3</v>
      </c>
      <c r="BI30" s="369"/>
      <c r="BJ30" s="593">
        <f t="shared" si="27"/>
        <v>21</v>
      </c>
      <c r="BK30" s="470" t="s">
        <v>311</v>
      </c>
      <c r="BL30" s="594">
        <v>88</v>
      </c>
      <c r="BM30" s="594"/>
      <c r="BN30" s="594"/>
      <c r="BO30" s="594">
        <v>0.43</v>
      </c>
      <c r="BP30" s="594">
        <v>0.23</v>
      </c>
      <c r="BQ30" s="594">
        <v>0.1</v>
      </c>
      <c r="BR30" s="369"/>
      <c r="BS30" s="369"/>
      <c r="BT30" s="369"/>
      <c r="BU30" s="369"/>
      <c r="BV30" s="369"/>
      <c r="BW30" s="369"/>
      <c r="BX30" s="369"/>
      <c r="BY30" s="369"/>
      <c r="BZ30" s="369"/>
      <c r="CB30" s="369"/>
      <c r="CC30" s="369"/>
      <c r="CD30" s="369"/>
      <c r="CE30" s="369"/>
      <c r="CF30" s="369"/>
      <c r="CG30" s="369"/>
      <c r="CH30" s="369"/>
      <c r="CI30" s="369"/>
      <c r="CJ30" s="369"/>
      <c r="CN30" s="368" t="str">
        <f t="shared" si="0"/>
        <v>Puten</v>
      </c>
      <c r="CO30" s="505">
        <f t="shared" si="1"/>
        <v>20</v>
      </c>
      <c r="CP30" s="368">
        <f t="shared" si="9"/>
        <v>0</v>
      </c>
      <c r="CQ30" s="531">
        <f t="shared" si="10"/>
        <v>69</v>
      </c>
      <c r="CR30" s="368" t="str">
        <f t="shared" si="11"/>
        <v>Gänsemist</v>
      </c>
      <c r="CS30" s="532">
        <f t="shared" si="12"/>
        <v>20</v>
      </c>
      <c r="CT30" s="368" t="str">
        <f t="shared" si="13"/>
        <v>Grünland mit Leg.-Anteil 40 %</v>
      </c>
      <c r="CU30" s="505">
        <f t="shared" si="14"/>
        <v>19</v>
      </c>
      <c r="CV30" s="368" t="str">
        <f t="shared" si="15"/>
        <v>Roggen Korn (12 % RP2)</v>
      </c>
      <c r="CW30" s="505">
        <f t="shared" si="16"/>
        <v>20</v>
      </c>
      <c r="CX30" s="368" t="str">
        <f t="shared" si="17"/>
        <v>Malzkeime</v>
      </c>
      <c r="CY30" s="505">
        <f t="shared" si="18"/>
        <v>20</v>
      </c>
    </row>
    <row r="31" spans="1:107" ht="18" customHeight="1" x14ac:dyDescent="0.2">
      <c r="A31" s="368"/>
      <c r="B31" s="369"/>
      <c r="C31" s="533">
        <f t="shared" si="23"/>
        <v>21</v>
      </c>
      <c r="D31" s="585" t="s">
        <v>312</v>
      </c>
      <c r="E31" s="586" t="s">
        <v>313</v>
      </c>
      <c r="F31" s="535">
        <v>96</v>
      </c>
      <c r="G31" s="536">
        <v>30</v>
      </c>
      <c r="H31" s="465">
        <f t="shared" si="2"/>
        <v>30</v>
      </c>
      <c r="I31" s="536">
        <v>80.3</v>
      </c>
      <c r="J31" s="465">
        <f t="shared" si="3"/>
        <v>56.209999999999994</v>
      </c>
      <c r="K31" s="536">
        <v>11.5</v>
      </c>
      <c r="L31" s="536">
        <v>5</v>
      </c>
      <c r="M31" s="536"/>
      <c r="N31" s="536"/>
      <c r="O31" s="536"/>
      <c r="P31" s="536"/>
      <c r="Q31" s="537">
        <v>1</v>
      </c>
      <c r="R31" s="538">
        <v>1</v>
      </c>
      <c r="S31" s="369"/>
      <c r="T31" s="511">
        <f t="shared" si="4"/>
        <v>71</v>
      </c>
      <c r="U31" s="496" t="s">
        <v>314</v>
      </c>
      <c r="V31" s="497">
        <v>12</v>
      </c>
      <c r="W31" s="497">
        <v>52</v>
      </c>
      <c r="X31" s="497"/>
      <c r="Y31" s="497"/>
      <c r="Z31" s="497"/>
      <c r="AA31" s="497">
        <v>-37</v>
      </c>
      <c r="AB31" s="512"/>
      <c r="AC31" s="369"/>
      <c r="AD31" s="527">
        <f t="shared" si="24"/>
        <v>21</v>
      </c>
      <c r="AE31" s="528" t="s">
        <v>315</v>
      </c>
      <c r="AF31" s="522"/>
      <c r="AG31" s="605">
        <v>30</v>
      </c>
      <c r="AH31" s="539">
        <v>91</v>
      </c>
      <c r="AI31" s="530">
        <f t="shared" si="5"/>
        <v>0</v>
      </c>
      <c r="AJ31" s="530">
        <f>IF(I102="",0,IF(O102="",0,I102/O102))</f>
        <v>0</v>
      </c>
      <c r="AK31" s="530">
        <v>8</v>
      </c>
      <c r="AL31" s="540">
        <v>5</v>
      </c>
      <c r="AM31" s="541">
        <v>18</v>
      </c>
      <c r="AN31" s="541">
        <v>0.1</v>
      </c>
      <c r="AO31" s="369"/>
      <c r="AP31" s="495">
        <v>20</v>
      </c>
      <c r="AQ31" s="600"/>
      <c r="AR31" s="601"/>
      <c r="AS31" s="499"/>
      <c r="AT31" s="542"/>
      <c r="AU31" s="521" t="str">
        <f t="shared" si="29"/>
        <v/>
      </c>
      <c r="AV31" s="382"/>
      <c r="AW31" s="495">
        <f t="shared" si="7"/>
        <v>22</v>
      </c>
      <c r="AX31" s="554" t="str">
        <f t="shared" si="28"/>
        <v>Roggen Korn + Stroh3 (12 % RP2)</v>
      </c>
      <c r="AY31" s="554" t="s">
        <v>265</v>
      </c>
      <c r="AZ31" s="591" t="s">
        <v>189</v>
      </c>
      <c r="BA31" s="591">
        <v>0.9</v>
      </c>
      <c r="BB31" s="592">
        <v>2.1</v>
      </c>
      <c r="BC31" s="558">
        <v>1.07</v>
      </c>
      <c r="BD31" s="559">
        <v>0.47</v>
      </c>
      <c r="BE31" s="526">
        <v>1.75</v>
      </c>
      <c r="BF31" s="493">
        <v>2</v>
      </c>
      <c r="BG31" s="493">
        <v>4.5</v>
      </c>
      <c r="BH31" s="494">
        <v>1.3</v>
      </c>
      <c r="BI31" s="369"/>
      <c r="BJ31" s="593">
        <f t="shared" si="27"/>
        <v>22</v>
      </c>
      <c r="BK31" s="470" t="s">
        <v>316</v>
      </c>
      <c r="BL31" s="594">
        <v>91</v>
      </c>
      <c r="BM31" s="594"/>
      <c r="BN31" s="594"/>
      <c r="BO31" s="594">
        <v>1.6</v>
      </c>
      <c r="BP31" s="594">
        <v>0.18</v>
      </c>
      <c r="BQ31" s="594">
        <v>0.08</v>
      </c>
      <c r="BR31" s="369"/>
      <c r="BS31" s="369"/>
      <c r="BT31" s="369"/>
      <c r="BU31" s="369"/>
      <c r="BV31" s="369"/>
      <c r="BW31" s="369"/>
      <c r="BX31" s="369"/>
      <c r="BY31" s="369"/>
      <c r="BZ31" s="369"/>
      <c r="CB31" s="369"/>
      <c r="CC31" s="369"/>
      <c r="CD31" s="369"/>
      <c r="CE31" s="369"/>
      <c r="CF31" s="369"/>
      <c r="CG31" s="369"/>
      <c r="CH31" s="369"/>
      <c r="CI31" s="369"/>
      <c r="CJ31" s="369"/>
      <c r="CN31" s="368" t="str">
        <f t="shared" si="0"/>
        <v>Enten</v>
      </c>
      <c r="CO31" s="505">
        <f t="shared" si="1"/>
        <v>21</v>
      </c>
      <c r="CP31" s="368" t="str">
        <f t="shared" si="9"/>
        <v>Diammonphosphat</v>
      </c>
      <c r="CQ31" s="531">
        <f t="shared" si="10"/>
        <v>70</v>
      </c>
      <c r="CR31" s="368" t="str">
        <f t="shared" si="11"/>
        <v>Schafmist</v>
      </c>
      <c r="CS31" s="532">
        <f t="shared" si="12"/>
        <v>21</v>
      </c>
      <c r="CT31" s="368">
        <f t="shared" si="13"/>
        <v>0</v>
      </c>
      <c r="CU31" s="505">
        <f t="shared" si="14"/>
        <v>20</v>
      </c>
      <c r="CV31" s="368" t="str">
        <f t="shared" si="15"/>
        <v>Roggen Stroh (12 % RP2)</v>
      </c>
      <c r="CW31" s="505">
        <f t="shared" si="16"/>
        <v>21</v>
      </c>
      <c r="CX31" s="368" t="str">
        <f t="shared" si="17"/>
        <v>Maniok</v>
      </c>
      <c r="CY31" s="505">
        <f t="shared" si="18"/>
        <v>21</v>
      </c>
    </row>
    <row r="32" spans="1:107" ht="18" customHeight="1" x14ac:dyDescent="0.2">
      <c r="A32" s="368"/>
      <c r="B32" s="369"/>
      <c r="C32" s="533">
        <f t="shared" si="23"/>
        <v>22</v>
      </c>
      <c r="D32" s="585" t="s">
        <v>317</v>
      </c>
      <c r="E32" s="606"/>
      <c r="F32" s="535"/>
      <c r="G32" s="536">
        <v>30</v>
      </c>
      <c r="H32" s="465">
        <f t="shared" si="2"/>
        <v>30</v>
      </c>
      <c r="I32" s="536"/>
      <c r="J32" s="465">
        <f t="shared" si="3"/>
        <v>0</v>
      </c>
      <c r="K32" s="536">
        <v>12.1</v>
      </c>
      <c r="L32" s="536">
        <v>5.3</v>
      </c>
      <c r="M32" s="536"/>
      <c r="N32" s="536"/>
      <c r="O32" s="536"/>
      <c r="P32" s="536"/>
      <c r="Q32" s="537"/>
      <c r="R32" s="538"/>
      <c r="S32" s="369"/>
      <c r="T32" s="511">
        <f t="shared" si="4"/>
        <v>72</v>
      </c>
      <c r="U32" s="554" t="s">
        <v>318</v>
      </c>
      <c r="V32" s="556">
        <v>22</v>
      </c>
      <c r="W32" s="556">
        <v>23</v>
      </c>
      <c r="X32" s="556"/>
      <c r="Y32" s="556"/>
      <c r="Z32" s="556"/>
      <c r="AA32" s="556">
        <v>-20</v>
      </c>
      <c r="AB32" s="607">
        <v>40</v>
      </c>
      <c r="AC32" s="369"/>
      <c r="AD32" s="527">
        <f t="shared" si="24"/>
        <v>22</v>
      </c>
      <c r="AE32" s="528" t="s">
        <v>319</v>
      </c>
      <c r="AF32" s="522"/>
      <c r="AG32" s="605">
        <v>50</v>
      </c>
      <c r="AH32" s="539">
        <v>83</v>
      </c>
      <c r="AI32" s="530">
        <f t="shared" si="5"/>
        <v>17.43</v>
      </c>
      <c r="AJ32" s="530">
        <v>21</v>
      </c>
      <c r="AK32" s="530">
        <v>4</v>
      </c>
      <c r="AL32" s="540">
        <v>18</v>
      </c>
      <c r="AM32" s="541">
        <v>23</v>
      </c>
      <c r="AN32" s="608">
        <v>3</v>
      </c>
      <c r="AO32" s="369"/>
      <c r="AP32" s="495">
        <v>21</v>
      </c>
      <c r="AQ32" s="600"/>
      <c r="AR32" s="601"/>
      <c r="AS32" s="499"/>
      <c r="AT32" s="542"/>
      <c r="AU32" s="521" t="str">
        <f t="shared" si="29"/>
        <v/>
      </c>
      <c r="AV32" s="369"/>
      <c r="AW32" s="495">
        <f t="shared" si="7"/>
        <v>23</v>
      </c>
      <c r="AX32" s="564" t="str">
        <f t="shared" ref="AX32:AX37" si="30">CONCATENATE("Wintertriticale ",AY32)</f>
        <v>Wintertriticale Korn (12 % RP2)</v>
      </c>
      <c r="AY32" s="564" t="s">
        <v>188</v>
      </c>
      <c r="AZ32" s="596">
        <v>86</v>
      </c>
      <c r="BA32" s="596" t="s">
        <v>189</v>
      </c>
      <c r="BB32" s="597">
        <v>1.65</v>
      </c>
      <c r="BC32" s="568">
        <v>0.8</v>
      </c>
      <c r="BD32" s="569">
        <v>0.35</v>
      </c>
      <c r="BE32" s="526">
        <v>5</v>
      </c>
      <c r="BF32" s="493">
        <v>2</v>
      </c>
      <c r="BG32" s="493">
        <v>6</v>
      </c>
      <c r="BH32" s="494">
        <v>1.5</v>
      </c>
      <c r="BI32" s="369"/>
      <c r="BJ32" s="593">
        <f t="shared" si="27"/>
        <v>23</v>
      </c>
      <c r="BK32" s="470" t="s">
        <v>320</v>
      </c>
      <c r="BL32" s="594">
        <v>5</v>
      </c>
      <c r="BM32" s="594"/>
      <c r="BN32" s="594"/>
      <c r="BO32" s="594">
        <v>0.67</v>
      </c>
      <c r="BP32" s="594">
        <v>3.07</v>
      </c>
      <c r="BQ32" s="594">
        <v>1.35</v>
      </c>
      <c r="BR32" s="369"/>
      <c r="BS32" s="369"/>
      <c r="BT32" s="369"/>
      <c r="BU32" s="369"/>
      <c r="BV32" s="369"/>
      <c r="BW32" s="369"/>
      <c r="BX32" s="369"/>
      <c r="BY32" s="369"/>
      <c r="BZ32" s="369"/>
      <c r="CB32" s="369"/>
      <c r="CC32" s="369"/>
      <c r="CD32" s="369"/>
      <c r="CE32" s="369"/>
      <c r="CF32" s="369"/>
      <c r="CG32" s="369"/>
      <c r="CH32" s="369"/>
      <c r="CI32" s="369"/>
      <c r="CJ32" s="369"/>
      <c r="CN32" s="368" t="str">
        <f t="shared" si="0"/>
        <v>Gänse</v>
      </c>
      <c r="CO32" s="505">
        <f t="shared" si="1"/>
        <v>22</v>
      </c>
      <c r="CP32" s="368" t="str">
        <f t="shared" si="9"/>
        <v>Monoammonphosphat</v>
      </c>
      <c r="CQ32" s="531">
        <f t="shared" si="10"/>
        <v>71</v>
      </c>
      <c r="CR32" s="368" t="str">
        <f t="shared" si="11"/>
        <v>Putenmist P-reduziert</v>
      </c>
      <c r="CS32" s="532">
        <f t="shared" si="12"/>
        <v>22</v>
      </c>
      <c r="CT32" s="368">
        <f t="shared" si="13"/>
        <v>0</v>
      </c>
      <c r="CU32" s="505">
        <f t="shared" si="14"/>
        <v>21</v>
      </c>
      <c r="CV32" s="368" t="str">
        <f t="shared" si="15"/>
        <v>Roggen Korn + Stroh3 (12 % RP2)</v>
      </c>
      <c r="CW32" s="505">
        <f t="shared" si="16"/>
        <v>22</v>
      </c>
      <c r="CX32" s="368" t="str">
        <f t="shared" si="17"/>
        <v>Melasseschnitzel</v>
      </c>
      <c r="CY32" s="505">
        <f t="shared" si="18"/>
        <v>22</v>
      </c>
    </row>
    <row r="33" spans="1:103" ht="18" customHeight="1" x14ac:dyDescent="0.2">
      <c r="A33" s="368"/>
      <c r="B33" s="369"/>
      <c r="C33" s="533">
        <f t="shared" si="23"/>
        <v>23</v>
      </c>
      <c r="D33" s="585" t="s">
        <v>321</v>
      </c>
      <c r="E33" s="606"/>
      <c r="F33" s="535"/>
      <c r="G33" s="536">
        <v>30</v>
      </c>
      <c r="H33" s="465">
        <f t="shared" si="2"/>
        <v>30</v>
      </c>
      <c r="I33" s="536"/>
      <c r="J33" s="465">
        <f t="shared" si="3"/>
        <v>0</v>
      </c>
      <c r="K33" s="536">
        <v>14.9</v>
      </c>
      <c r="L33" s="536">
        <v>6.5</v>
      </c>
      <c r="M33" s="536"/>
      <c r="N33" s="536"/>
      <c r="O33" s="536"/>
      <c r="P33" s="536"/>
      <c r="Q33" s="537"/>
      <c r="R33" s="538"/>
      <c r="S33" s="369"/>
      <c r="T33" s="511">
        <f t="shared" si="4"/>
        <v>73</v>
      </c>
      <c r="U33" s="602" t="s">
        <v>322</v>
      </c>
      <c r="V33" s="603">
        <v>14</v>
      </c>
      <c r="W33" s="603">
        <v>10</v>
      </c>
      <c r="X33" s="603">
        <v>20</v>
      </c>
      <c r="Y33" s="603"/>
      <c r="Z33" s="603">
        <v>3</v>
      </c>
      <c r="AA33" s="603">
        <v>-14</v>
      </c>
      <c r="AB33" s="604"/>
      <c r="AC33" s="369"/>
      <c r="AD33" s="527">
        <f t="shared" si="24"/>
        <v>23</v>
      </c>
      <c r="AE33" s="528"/>
      <c r="AF33" s="522"/>
      <c r="AG33" s="605"/>
      <c r="AH33" s="539"/>
      <c r="AI33" s="530" t="str">
        <f t="shared" si="5"/>
        <v/>
      </c>
      <c r="AJ33" s="530"/>
      <c r="AK33" s="530"/>
      <c r="AL33" s="540"/>
      <c r="AM33" s="541"/>
      <c r="AN33" s="541"/>
      <c r="AO33" s="369"/>
      <c r="AP33" s="495">
        <v>22</v>
      </c>
      <c r="AQ33" s="600"/>
      <c r="AR33" s="601"/>
      <c r="AS33" s="499"/>
      <c r="AT33" s="542"/>
      <c r="AU33" s="521" t="str">
        <f t="shared" si="29"/>
        <v/>
      </c>
      <c r="AV33" s="369"/>
      <c r="AW33" s="495">
        <f t="shared" si="7"/>
        <v>24</v>
      </c>
      <c r="AX33" s="496" t="str">
        <f t="shared" si="30"/>
        <v>Wintertriticale Stroh (12 % RP2)</v>
      </c>
      <c r="AY33" s="496" t="s">
        <v>197</v>
      </c>
      <c r="AZ33" s="499">
        <v>86</v>
      </c>
      <c r="BA33" s="499" t="s">
        <v>189</v>
      </c>
      <c r="BB33" s="579">
        <v>0.5</v>
      </c>
      <c r="BC33" s="524">
        <v>0.3</v>
      </c>
      <c r="BD33" s="525">
        <v>0.13</v>
      </c>
      <c r="BE33" s="526"/>
      <c r="BF33" s="493"/>
      <c r="BG33" s="493"/>
      <c r="BH33" s="494"/>
      <c r="BI33" s="369"/>
      <c r="BJ33" s="593">
        <f t="shared" si="27"/>
        <v>24</v>
      </c>
      <c r="BK33" s="470" t="s">
        <v>323</v>
      </c>
      <c r="BL33" s="594">
        <v>27</v>
      </c>
      <c r="BM33" s="594"/>
      <c r="BN33" s="594"/>
      <c r="BO33" s="594">
        <v>1.36</v>
      </c>
      <c r="BP33" s="594">
        <v>0.23</v>
      </c>
      <c r="BQ33" s="594">
        <v>0.1</v>
      </c>
      <c r="BR33" s="369"/>
      <c r="BS33" s="369"/>
      <c r="BT33" s="369"/>
      <c r="BU33" s="369"/>
      <c r="BV33" s="369"/>
      <c r="BW33" s="369"/>
      <c r="BX33" s="369"/>
      <c r="BY33" s="369"/>
      <c r="BZ33" s="369"/>
      <c r="CB33" s="369"/>
      <c r="CC33" s="369"/>
      <c r="CD33" s="369"/>
      <c r="CE33" s="369"/>
      <c r="CF33" s="369"/>
      <c r="CG33" s="369"/>
      <c r="CH33" s="369"/>
      <c r="CI33" s="369"/>
      <c r="CJ33" s="369"/>
      <c r="CN33" s="368" t="str">
        <f t="shared" si="0"/>
        <v>Kaninchen</v>
      </c>
      <c r="CO33" s="505">
        <f t="shared" si="1"/>
        <v>23</v>
      </c>
      <c r="CP33" s="368" t="str">
        <f t="shared" si="9"/>
        <v>NP 22+23</v>
      </c>
      <c r="CQ33" s="531">
        <f t="shared" si="10"/>
        <v>72</v>
      </c>
      <c r="CR33" s="368">
        <f t="shared" si="11"/>
        <v>0</v>
      </c>
      <c r="CS33" s="532">
        <f t="shared" si="12"/>
        <v>23</v>
      </c>
      <c r="CT33" s="368">
        <f t="shared" si="13"/>
        <v>0</v>
      </c>
      <c r="CU33" s="505">
        <f t="shared" si="14"/>
        <v>22</v>
      </c>
      <c r="CV33" s="368" t="str">
        <f t="shared" si="15"/>
        <v>Wintertriticale Korn (12 % RP2)</v>
      </c>
      <c r="CW33" s="505">
        <f t="shared" si="16"/>
        <v>23</v>
      </c>
      <c r="CX33" s="368" t="str">
        <f t="shared" si="17"/>
        <v>Molke, Permeat</v>
      </c>
      <c r="CY33" s="505">
        <f t="shared" si="18"/>
        <v>23</v>
      </c>
    </row>
    <row r="34" spans="1:103" ht="18" customHeight="1" x14ac:dyDescent="0.2">
      <c r="A34" s="368"/>
      <c r="B34" s="369"/>
      <c r="C34" s="533">
        <f t="shared" si="23"/>
        <v>24</v>
      </c>
      <c r="D34" s="585" t="s">
        <v>324</v>
      </c>
      <c r="E34" s="609"/>
      <c r="F34" s="551"/>
      <c r="G34" s="536">
        <v>26</v>
      </c>
      <c r="H34" s="553">
        <f t="shared" si="2"/>
        <v>26</v>
      </c>
      <c r="I34" s="552"/>
      <c r="J34" s="553">
        <f t="shared" si="3"/>
        <v>0</v>
      </c>
      <c r="K34" s="536">
        <v>13.7</v>
      </c>
      <c r="L34" s="552">
        <v>6</v>
      </c>
      <c r="M34" s="552"/>
      <c r="N34" s="610"/>
      <c r="O34" s="610"/>
      <c r="P34" s="610"/>
      <c r="Q34" s="611"/>
      <c r="R34" s="611"/>
      <c r="S34" s="369"/>
      <c r="T34" s="511">
        <f t="shared" si="4"/>
        <v>74</v>
      </c>
      <c r="U34" s="496" t="s">
        <v>325</v>
      </c>
      <c r="V34" s="497">
        <v>13</v>
      </c>
      <c r="W34" s="497">
        <v>9</v>
      </c>
      <c r="X34" s="497">
        <v>16</v>
      </c>
      <c r="Y34" s="497">
        <v>4</v>
      </c>
      <c r="Z34" s="497">
        <v>7</v>
      </c>
      <c r="AA34" s="497">
        <v>-13</v>
      </c>
      <c r="AB34" s="512"/>
      <c r="AC34" s="369"/>
      <c r="AD34" s="527">
        <f t="shared" si="24"/>
        <v>24</v>
      </c>
      <c r="AE34" s="528"/>
      <c r="AF34" s="522"/>
      <c r="AG34" s="605"/>
      <c r="AH34" s="539"/>
      <c r="AI34" s="530" t="str">
        <f t="shared" si="5"/>
        <v/>
      </c>
      <c r="AJ34" s="530"/>
      <c r="AK34" s="530"/>
      <c r="AL34" s="540"/>
      <c r="AM34" s="541"/>
      <c r="AN34" s="541"/>
      <c r="AO34" s="369"/>
      <c r="AP34" s="580">
        <v>23</v>
      </c>
      <c r="AQ34" s="612"/>
      <c r="AR34" s="613"/>
      <c r="AS34" s="614"/>
      <c r="AT34" s="615"/>
      <c r="AU34" s="616" t="str">
        <f t="shared" si="29"/>
        <v/>
      </c>
      <c r="AV34" s="369"/>
      <c r="AW34" s="495">
        <f t="shared" si="7"/>
        <v>25</v>
      </c>
      <c r="AX34" s="496" t="str">
        <f t="shared" si="30"/>
        <v>Wintertriticale Korn + Stroh3 (12 % RP2)</v>
      </c>
      <c r="AY34" s="496" t="s">
        <v>265</v>
      </c>
      <c r="AZ34" s="499" t="s">
        <v>189</v>
      </c>
      <c r="BA34" s="499">
        <v>0.9</v>
      </c>
      <c r="BB34" s="579">
        <v>2.1</v>
      </c>
      <c r="BC34" s="524">
        <v>1.07</v>
      </c>
      <c r="BD34" s="525">
        <v>0.47</v>
      </c>
      <c r="BE34" s="526"/>
      <c r="BF34" s="493"/>
      <c r="BG34" s="493"/>
      <c r="BH34" s="494"/>
      <c r="BI34" s="369"/>
      <c r="BJ34" s="593">
        <f t="shared" si="27"/>
        <v>25</v>
      </c>
      <c r="BK34" s="470" t="s">
        <v>67</v>
      </c>
      <c r="BL34" s="594">
        <v>89</v>
      </c>
      <c r="BM34" s="594"/>
      <c r="BN34" s="594"/>
      <c r="BO34" s="594">
        <v>6.1</v>
      </c>
      <c r="BP34" s="594">
        <v>2.75</v>
      </c>
      <c r="BQ34" s="594">
        <v>1.21</v>
      </c>
      <c r="BR34" s="369"/>
      <c r="BS34" s="369"/>
      <c r="BT34" s="369"/>
      <c r="BU34" s="369"/>
      <c r="BV34" s="369"/>
      <c r="BW34" s="369"/>
      <c r="BX34" s="369"/>
      <c r="BY34" s="369"/>
      <c r="BZ34" s="369"/>
      <c r="CB34" s="369"/>
      <c r="CC34" s="369"/>
      <c r="CD34" s="369"/>
      <c r="CE34" s="369"/>
      <c r="CF34" s="369"/>
      <c r="CG34" s="369"/>
      <c r="CH34" s="369"/>
      <c r="CI34" s="369"/>
      <c r="CJ34" s="369"/>
      <c r="CN34" s="368" t="str">
        <f t="shared" si="0"/>
        <v>Gehegewild</v>
      </c>
      <c r="CO34" s="505">
        <f t="shared" si="1"/>
        <v>24</v>
      </c>
      <c r="CP34" s="368" t="str">
        <f t="shared" si="9"/>
        <v>Nitrophoska 14+10+20+0+3</v>
      </c>
      <c r="CQ34" s="531">
        <f t="shared" si="10"/>
        <v>73</v>
      </c>
      <c r="CR34" s="368">
        <f t="shared" si="11"/>
        <v>0</v>
      </c>
      <c r="CS34" s="532">
        <f t="shared" si="12"/>
        <v>24</v>
      </c>
      <c r="CT34" s="368">
        <f t="shared" si="13"/>
        <v>0</v>
      </c>
      <c r="CU34" s="505">
        <f t="shared" si="14"/>
        <v>23</v>
      </c>
      <c r="CV34" s="368" t="str">
        <f t="shared" si="15"/>
        <v>Wintertriticale Stroh (12 % RP2)</v>
      </c>
      <c r="CW34" s="505">
        <f t="shared" si="16"/>
        <v>24</v>
      </c>
      <c r="CX34" s="368" t="str">
        <f t="shared" si="17"/>
        <v>Pressschnitzel, siliert</v>
      </c>
      <c r="CY34" s="505">
        <f t="shared" si="18"/>
        <v>24</v>
      </c>
    </row>
    <row r="35" spans="1:103" ht="18" customHeight="1" x14ac:dyDescent="0.2">
      <c r="A35" s="368"/>
      <c r="B35" s="369"/>
      <c r="C35" s="617"/>
      <c r="D35" s="585"/>
      <c r="E35" s="606"/>
      <c r="F35" s="535"/>
      <c r="G35" s="536"/>
      <c r="H35" s="536">
        <f t="shared" si="2"/>
        <v>0</v>
      </c>
      <c r="I35" s="536"/>
      <c r="J35" s="536">
        <f t="shared" si="3"/>
        <v>0</v>
      </c>
      <c r="K35" s="552"/>
      <c r="L35" s="536"/>
      <c r="M35" s="536"/>
      <c r="N35" s="618"/>
      <c r="O35" s="618"/>
      <c r="P35" s="618"/>
      <c r="Q35" s="619"/>
      <c r="R35" s="620"/>
      <c r="S35" s="369"/>
      <c r="T35" s="511">
        <f t="shared" si="4"/>
        <v>75</v>
      </c>
      <c r="U35" s="496" t="s">
        <v>326</v>
      </c>
      <c r="V35" s="497">
        <v>20</v>
      </c>
      <c r="W35" s="497">
        <v>8</v>
      </c>
      <c r="X35" s="497">
        <v>8</v>
      </c>
      <c r="Y35" s="497">
        <v>3</v>
      </c>
      <c r="Z35" s="497">
        <v>4</v>
      </c>
      <c r="AA35" s="497">
        <v>-22</v>
      </c>
      <c r="AB35" s="512"/>
      <c r="AC35" s="369"/>
      <c r="AD35" s="527">
        <f t="shared" si="24"/>
        <v>25</v>
      </c>
      <c r="AE35" s="621"/>
      <c r="AF35" s="622"/>
      <c r="AG35" s="605"/>
      <c r="AH35" s="539"/>
      <c r="AI35" s="530" t="str">
        <f t="shared" si="5"/>
        <v/>
      </c>
      <c r="AJ35" s="530"/>
      <c r="AK35" s="530"/>
      <c r="AL35" s="540"/>
      <c r="AM35" s="541"/>
      <c r="AN35" s="623"/>
      <c r="AO35" s="369"/>
      <c r="AP35" s="624" t="s">
        <v>327</v>
      </c>
      <c r="AQ35" s="625"/>
      <c r="AR35" s="626"/>
      <c r="AS35" s="627"/>
      <c r="AT35" s="1021" t="s">
        <v>328</v>
      </c>
      <c r="AU35" s="1021"/>
      <c r="AV35" s="1021"/>
      <c r="AW35" s="495">
        <f t="shared" si="7"/>
        <v>26</v>
      </c>
      <c r="AX35" s="496" t="str">
        <f t="shared" si="30"/>
        <v>Wintertriticale Korn (13 % RP2)</v>
      </c>
      <c r="AY35" s="496" t="s">
        <v>270</v>
      </c>
      <c r="AZ35" s="499">
        <v>86</v>
      </c>
      <c r="BA35" s="499" t="s">
        <v>189</v>
      </c>
      <c r="BB35" s="579">
        <v>1.79</v>
      </c>
      <c r="BC35" s="524">
        <v>0.8</v>
      </c>
      <c r="BD35" s="525">
        <v>0.35</v>
      </c>
      <c r="BE35" s="526"/>
      <c r="BF35" s="493"/>
      <c r="BG35" s="493"/>
      <c r="BH35" s="494"/>
      <c r="BI35" s="369"/>
      <c r="BJ35" s="593">
        <f t="shared" si="27"/>
        <v>26</v>
      </c>
      <c r="BK35" s="470" t="s">
        <v>329</v>
      </c>
      <c r="BL35" s="594">
        <v>90</v>
      </c>
      <c r="BM35" s="594"/>
      <c r="BN35" s="594"/>
      <c r="BO35" s="594">
        <v>5.86</v>
      </c>
      <c r="BP35" s="594">
        <v>2.75</v>
      </c>
      <c r="BQ35" s="594">
        <v>1.21</v>
      </c>
      <c r="BR35" s="369"/>
      <c r="BS35" s="369"/>
      <c r="BT35" s="369"/>
      <c r="BU35" s="369"/>
      <c r="BV35" s="369"/>
      <c r="BW35" s="369"/>
      <c r="BX35" s="369"/>
      <c r="BY35" s="369"/>
      <c r="BZ35" s="369"/>
      <c r="CB35" s="369"/>
      <c r="CC35" s="369"/>
      <c r="CD35" s="369"/>
      <c r="CE35" s="369"/>
      <c r="CF35" s="369"/>
      <c r="CG35" s="369"/>
      <c r="CH35" s="369"/>
      <c r="CI35" s="369"/>
      <c r="CJ35" s="369"/>
      <c r="CN35" s="368">
        <f t="shared" si="0"/>
        <v>0</v>
      </c>
      <c r="CO35" s="505">
        <f t="shared" si="1"/>
        <v>0</v>
      </c>
      <c r="CP35" s="368" t="str">
        <f t="shared" si="9"/>
        <v>Nitrophoska 13+9+16+4+7</v>
      </c>
      <c r="CQ35" s="531">
        <f t="shared" si="10"/>
        <v>74</v>
      </c>
      <c r="CR35" s="368">
        <f t="shared" si="11"/>
        <v>0</v>
      </c>
      <c r="CS35" s="532">
        <f t="shared" si="12"/>
        <v>25</v>
      </c>
      <c r="CU35" s="505"/>
      <c r="CV35" s="368" t="str">
        <f t="shared" si="15"/>
        <v>Wintertriticale Korn + Stroh3 (12 % RP2)</v>
      </c>
      <c r="CW35" s="505">
        <f t="shared" si="16"/>
        <v>25</v>
      </c>
      <c r="CX35" s="368" t="str">
        <f t="shared" si="17"/>
        <v>Rapsextraktionsschrot</v>
      </c>
      <c r="CY35" s="505">
        <f t="shared" si="18"/>
        <v>25</v>
      </c>
    </row>
    <row r="36" spans="1:103" ht="18" customHeight="1" x14ac:dyDescent="0.2">
      <c r="A36" s="368"/>
      <c r="B36" s="369"/>
      <c r="C36" s="533">
        <f>C34+1</f>
        <v>25</v>
      </c>
      <c r="D36" s="628"/>
      <c r="E36" s="629"/>
      <c r="F36" s="572"/>
      <c r="G36" s="465"/>
      <c r="H36" s="465"/>
      <c r="I36" s="465"/>
      <c r="J36" s="465"/>
      <c r="K36" s="465"/>
      <c r="L36" s="465"/>
      <c r="M36" s="465"/>
      <c r="N36" s="465"/>
      <c r="O36" s="465"/>
      <c r="P36" s="465"/>
      <c r="Q36" s="630">
        <v>0.02</v>
      </c>
      <c r="R36" s="631">
        <v>0.03</v>
      </c>
      <c r="S36" s="369"/>
      <c r="T36" s="511">
        <f t="shared" si="4"/>
        <v>76</v>
      </c>
      <c r="U36" s="496" t="s">
        <v>330</v>
      </c>
      <c r="V36" s="497">
        <v>15</v>
      </c>
      <c r="W36" s="497">
        <v>5</v>
      </c>
      <c r="X36" s="497">
        <v>20</v>
      </c>
      <c r="Y36" s="497">
        <v>2</v>
      </c>
      <c r="Z36" s="497">
        <v>8</v>
      </c>
      <c r="AA36" s="497">
        <v>-16</v>
      </c>
      <c r="AB36" s="512"/>
      <c r="AC36" s="369"/>
      <c r="AD36" s="632"/>
      <c r="AE36" s="484" t="s">
        <v>331</v>
      </c>
      <c r="AF36" s="633"/>
      <c r="AG36" s="634"/>
      <c r="AH36" s="634"/>
      <c r="AI36" s="634"/>
      <c r="AJ36" s="634"/>
      <c r="AK36" s="634"/>
      <c r="AL36" s="634"/>
      <c r="AM36" s="635"/>
      <c r="AN36" s="541"/>
      <c r="AO36" s="369"/>
      <c r="AP36" s="369"/>
      <c r="AQ36" s="369"/>
      <c r="AR36" s="369"/>
      <c r="AS36" s="369"/>
      <c r="AT36" s="1021"/>
      <c r="AU36" s="1021"/>
      <c r="AV36" s="1021"/>
      <c r="AW36" s="495">
        <f t="shared" si="7"/>
        <v>27</v>
      </c>
      <c r="AX36" s="496" t="str">
        <f t="shared" si="30"/>
        <v>Wintertriticale Stroh (13 % RP2)</v>
      </c>
      <c r="AY36" s="496" t="s">
        <v>275</v>
      </c>
      <c r="AZ36" s="499">
        <v>86</v>
      </c>
      <c r="BA36" s="499" t="s">
        <v>189</v>
      </c>
      <c r="BB36" s="579">
        <v>0.5</v>
      </c>
      <c r="BC36" s="524">
        <v>0.3</v>
      </c>
      <c r="BD36" s="525">
        <v>0.13</v>
      </c>
      <c r="BE36" s="526"/>
      <c r="BF36" s="493"/>
      <c r="BG36" s="493"/>
      <c r="BH36" s="494"/>
      <c r="BI36" s="369"/>
      <c r="BJ36" s="593">
        <f t="shared" si="27"/>
        <v>27</v>
      </c>
      <c r="BK36" s="470" t="s">
        <v>332</v>
      </c>
      <c r="BL36" s="594">
        <v>88</v>
      </c>
      <c r="BM36" s="594"/>
      <c r="BN36" s="594"/>
      <c r="BO36" s="594">
        <v>2.56</v>
      </c>
      <c r="BP36" s="594">
        <v>2.29</v>
      </c>
      <c r="BQ36" s="594">
        <v>1.01</v>
      </c>
      <c r="BR36" s="369"/>
      <c r="BS36" s="369"/>
      <c r="BT36" s="369"/>
      <c r="BU36" s="369"/>
      <c r="BV36" s="369"/>
      <c r="BW36" s="369"/>
      <c r="BX36" s="369"/>
      <c r="BY36" s="369"/>
      <c r="BZ36" s="369"/>
      <c r="CB36" s="369"/>
      <c r="CC36" s="369"/>
      <c r="CD36" s="369"/>
      <c r="CE36" s="369"/>
      <c r="CF36" s="369"/>
      <c r="CG36" s="369"/>
      <c r="CH36" s="369"/>
      <c r="CI36" s="369"/>
      <c r="CJ36" s="369"/>
      <c r="CN36" s="368">
        <f t="shared" si="0"/>
        <v>0</v>
      </c>
      <c r="CO36" s="505">
        <f t="shared" si="1"/>
        <v>25</v>
      </c>
      <c r="CP36" s="368" t="str">
        <f t="shared" si="9"/>
        <v>Nitrophoska 20+8+8+3+4</v>
      </c>
      <c r="CQ36" s="531">
        <f t="shared" si="10"/>
        <v>75</v>
      </c>
      <c r="CR36" s="368" t="str">
        <f t="shared" si="11"/>
        <v>Gülle und Jauche (kg je m3)</v>
      </c>
      <c r="CS36" s="532">
        <f t="shared" si="12"/>
        <v>0</v>
      </c>
      <c r="CU36" s="505"/>
      <c r="CV36" s="368" t="str">
        <f t="shared" si="15"/>
        <v>Wintertriticale Korn (13 % RP2)</v>
      </c>
      <c r="CW36" s="505">
        <f t="shared" si="16"/>
        <v>26</v>
      </c>
      <c r="CX36" s="368" t="str">
        <f t="shared" si="17"/>
        <v>Rapskuchen, fettarm</v>
      </c>
      <c r="CY36" s="505">
        <f t="shared" si="18"/>
        <v>26</v>
      </c>
    </row>
    <row r="37" spans="1:103" ht="18" customHeight="1" x14ac:dyDescent="0.2">
      <c r="A37" s="368"/>
      <c r="B37" s="369"/>
      <c r="C37" s="533">
        <f t="shared" ref="C37:C56" si="31">C36+1</f>
        <v>26</v>
      </c>
      <c r="D37" s="636"/>
      <c r="E37" s="534"/>
      <c r="F37" s="535"/>
      <c r="G37" s="536"/>
      <c r="H37" s="465"/>
      <c r="I37" s="536"/>
      <c r="J37" s="465"/>
      <c r="K37" s="536"/>
      <c r="L37" s="536"/>
      <c r="M37" s="536"/>
      <c r="N37" s="536"/>
      <c r="O37" s="536"/>
      <c r="P37" s="536"/>
      <c r="Q37" s="637">
        <v>0.02</v>
      </c>
      <c r="R37" s="638">
        <v>0.03</v>
      </c>
      <c r="S37" s="369"/>
      <c r="T37" s="511">
        <f t="shared" si="4"/>
        <v>77</v>
      </c>
      <c r="U37" s="496" t="s">
        <v>333</v>
      </c>
      <c r="V37" s="497">
        <v>14</v>
      </c>
      <c r="W37" s="497">
        <v>7</v>
      </c>
      <c r="X37" s="497">
        <v>17</v>
      </c>
      <c r="Y37" s="497">
        <v>2</v>
      </c>
      <c r="Z37" s="497">
        <v>11</v>
      </c>
      <c r="AA37" s="497">
        <v>-23</v>
      </c>
      <c r="AB37" s="512"/>
      <c r="AC37" s="369"/>
      <c r="AD37" s="501">
        <v>26</v>
      </c>
      <c r="AE37" s="502" t="s">
        <v>84</v>
      </c>
      <c r="AF37" s="503"/>
      <c r="AG37" s="513">
        <v>10</v>
      </c>
      <c r="AH37" s="513">
        <v>82</v>
      </c>
      <c r="AI37" s="504">
        <f t="shared" ref="AI37:AI59" si="32">IF(AJ37="","",IF(AH37="","",(AJ37*AH37)/100))</f>
        <v>4.2640000000000002</v>
      </c>
      <c r="AJ37" s="504">
        <v>5.2</v>
      </c>
      <c r="AK37" s="504">
        <f>AJ37*55/100</f>
        <v>2.86</v>
      </c>
      <c r="AL37" s="504">
        <v>2</v>
      </c>
      <c r="AM37" s="515">
        <v>7.3</v>
      </c>
      <c r="AN37" s="515">
        <v>0.6</v>
      </c>
      <c r="AO37" s="369"/>
      <c r="AP37" s="369"/>
      <c r="AQ37" s="369"/>
      <c r="AR37" s="369"/>
      <c r="AS37" s="369"/>
      <c r="AT37" s="369"/>
      <c r="AU37" s="369"/>
      <c r="AV37" s="369"/>
      <c r="AW37" s="587">
        <f t="shared" si="7"/>
        <v>28</v>
      </c>
      <c r="AX37" s="554" t="str">
        <f t="shared" si="30"/>
        <v>Wintertriticale Korn + Stroh3 (13 % RP2)</v>
      </c>
      <c r="AY37" s="554" t="s">
        <v>281</v>
      </c>
      <c r="AZ37" s="591" t="s">
        <v>189</v>
      </c>
      <c r="BA37" s="591">
        <v>0.9</v>
      </c>
      <c r="BB37" s="592">
        <v>2.2400000000000002</v>
      </c>
      <c r="BC37" s="558">
        <v>1.07</v>
      </c>
      <c r="BD37" s="559">
        <v>0.47</v>
      </c>
      <c r="BE37" s="588"/>
      <c r="BF37" s="589"/>
      <c r="BG37" s="589"/>
      <c r="BH37" s="590"/>
      <c r="BI37" s="369"/>
      <c r="BJ37" s="593">
        <f t="shared" si="27"/>
        <v>28</v>
      </c>
      <c r="BK37" s="470" t="s">
        <v>334</v>
      </c>
      <c r="BL37" s="594">
        <v>88</v>
      </c>
      <c r="BM37" s="594"/>
      <c r="BN37" s="594"/>
      <c r="BO37" s="594">
        <v>2.59</v>
      </c>
      <c r="BP37" s="594">
        <v>2.54</v>
      </c>
      <c r="BQ37" s="594">
        <v>1.1200000000000001</v>
      </c>
      <c r="BR37" s="369"/>
      <c r="BS37" s="369"/>
      <c r="BT37" s="369"/>
      <c r="BU37" s="369"/>
      <c r="BV37" s="369"/>
      <c r="BW37" s="369"/>
      <c r="BX37" s="369"/>
      <c r="BY37" s="369"/>
      <c r="BZ37" s="369"/>
      <c r="CB37" s="369"/>
      <c r="CC37" s="369"/>
      <c r="CD37" s="369"/>
      <c r="CE37" s="369"/>
      <c r="CF37" s="369"/>
      <c r="CG37" s="369"/>
      <c r="CH37" s="369"/>
      <c r="CI37" s="369"/>
      <c r="CJ37" s="369"/>
      <c r="CN37" s="368">
        <f t="shared" si="0"/>
        <v>0</v>
      </c>
      <c r="CO37" s="505">
        <f t="shared" si="1"/>
        <v>26</v>
      </c>
      <c r="CP37" s="368" t="str">
        <f t="shared" si="9"/>
        <v>Nitrophoska perfekt 15+5+20+2+8</v>
      </c>
      <c r="CQ37" s="531">
        <f t="shared" si="10"/>
        <v>76</v>
      </c>
      <c r="CR37" s="368" t="str">
        <f t="shared" si="11"/>
        <v>Rindergülle (Milchkühe)</v>
      </c>
      <c r="CS37" s="532">
        <f t="shared" si="12"/>
        <v>26</v>
      </c>
      <c r="CU37" s="505"/>
      <c r="CV37" s="368" t="str">
        <f t="shared" si="15"/>
        <v>Wintertriticale Stroh (13 % RP2)</v>
      </c>
      <c r="CW37" s="505">
        <f t="shared" si="16"/>
        <v>27</v>
      </c>
      <c r="CX37" s="368" t="str">
        <f t="shared" si="17"/>
        <v>Roggengrießkleie</v>
      </c>
      <c r="CY37" s="505">
        <f t="shared" si="18"/>
        <v>27</v>
      </c>
    </row>
    <row r="38" spans="1:103" ht="18" customHeight="1" x14ac:dyDescent="0.2">
      <c r="A38" s="368"/>
      <c r="B38" s="369"/>
      <c r="C38" s="533">
        <f t="shared" si="31"/>
        <v>27</v>
      </c>
      <c r="D38" s="636"/>
      <c r="E38" s="534"/>
      <c r="F38" s="535"/>
      <c r="G38" s="536"/>
      <c r="H38" s="465"/>
      <c r="I38" s="536"/>
      <c r="J38" s="465"/>
      <c r="K38" s="536"/>
      <c r="L38" s="536"/>
      <c r="M38" s="536"/>
      <c r="N38" s="536"/>
      <c r="O38" s="536"/>
      <c r="P38" s="536"/>
      <c r="Q38" s="637">
        <v>0.02</v>
      </c>
      <c r="R38" s="638">
        <v>0.03</v>
      </c>
      <c r="S38" s="369"/>
      <c r="T38" s="511">
        <f t="shared" si="4"/>
        <v>78</v>
      </c>
      <c r="U38" s="496" t="s">
        <v>335</v>
      </c>
      <c r="V38" s="497">
        <v>12</v>
      </c>
      <c r="W38" s="497">
        <v>12</v>
      </c>
      <c r="X38" s="497">
        <v>17</v>
      </c>
      <c r="Y38" s="497">
        <v>2</v>
      </c>
      <c r="Z38" s="497">
        <v>6</v>
      </c>
      <c r="AA38" s="497">
        <v>-11</v>
      </c>
      <c r="AB38" s="512"/>
      <c r="AC38" s="369"/>
      <c r="AD38" s="527">
        <f t="shared" ref="AD38:AD59" si="33">AD37+1</f>
        <v>27</v>
      </c>
      <c r="AE38" s="528" t="s">
        <v>336</v>
      </c>
      <c r="AF38" s="529"/>
      <c r="AG38" s="539">
        <v>4</v>
      </c>
      <c r="AH38" s="539">
        <v>82</v>
      </c>
      <c r="AI38" s="530">
        <f t="shared" si="32"/>
        <v>3.5259999999999998</v>
      </c>
      <c r="AJ38" s="530">
        <v>4.3</v>
      </c>
      <c r="AK38" s="530">
        <f>AJ38*55/100</f>
        <v>2.3650000000000002</v>
      </c>
      <c r="AL38" s="530">
        <v>2</v>
      </c>
      <c r="AM38" s="541">
        <v>5.0999999999999996</v>
      </c>
      <c r="AN38" s="541">
        <v>0.5</v>
      </c>
      <c r="AO38" s="369"/>
      <c r="AP38" s="369"/>
      <c r="AQ38" s="369"/>
      <c r="AR38" s="369"/>
      <c r="AS38" s="369"/>
      <c r="AT38" s="369"/>
      <c r="AU38" s="369"/>
      <c r="AV38" s="369"/>
      <c r="AW38" s="639">
        <f t="shared" si="7"/>
        <v>29</v>
      </c>
      <c r="AX38" s="602" t="str">
        <f t="shared" ref="AX38:AX43" si="34">CONCATENATE("Sommerfuttergerste ",AY38)</f>
        <v>Sommerfuttergerste Korn (12 % RP2)</v>
      </c>
      <c r="AY38" s="522" t="s">
        <v>188</v>
      </c>
      <c r="AZ38" s="497">
        <v>86</v>
      </c>
      <c r="BA38" s="497" t="s">
        <v>189</v>
      </c>
      <c r="BB38" s="523">
        <v>1.65</v>
      </c>
      <c r="BC38" s="524">
        <v>0.8</v>
      </c>
      <c r="BD38" s="525">
        <v>0.35</v>
      </c>
      <c r="BE38" s="526">
        <v>0.39</v>
      </c>
      <c r="BF38" s="493">
        <v>0.15</v>
      </c>
      <c r="BG38" s="493">
        <v>0.67</v>
      </c>
      <c r="BH38" s="494">
        <v>0.06</v>
      </c>
      <c r="BI38" s="369"/>
      <c r="BJ38" s="593">
        <f t="shared" si="27"/>
        <v>29</v>
      </c>
      <c r="BK38" s="470" t="s">
        <v>337</v>
      </c>
      <c r="BL38" s="594">
        <v>17</v>
      </c>
      <c r="BM38" s="594"/>
      <c r="BN38" s="594"/>
      <c r="BO38" s="594">
        <v>1.2</v>
      </c>
      <c r="BP38" s="594">
        <v>0.48</v>
      </c>
      <c r="BQ38" s="594">
        <v>0.21</v>
      </c>
      <c r="BR38" s="369"/>
      <c r="BS38" s="369"/>
      <c r="BT38" s="369"/>
      <c r="BU38" s="369"/>
      <c r="BV38" s="369"/>
      <c r="BW38" s="369"/>
      <c r="BX38" s="369"/>
      <c r="BY38" s="369"/>
      <c r="BZ38" s="369"/>
      <c r="CB38" s="369"/>
      <c r="CC38" s="369"/>
      <c r="CD38" s="369"/>
      <c r="CE38" s="369"/>
      <c r="CF38" s="369"/>
      <c r="CG38" s="369"/>
      <c r="CH38" s="369"/>
      <c r="CI38" s="369"/>
      <c r="CJ38" s="369"/>
      <c r="CN38" s="368">
        <f t="shared" si="0"/>
        <v>0</v>
      </c>
      <c r="CO38" s="505">
        <f t="shared" si="1"/>
        <v>27</v>
      </c>
      <c r="CP38" s="368" t="str">
        <f t="shared" si="9"/>
        <v>Entec perfekt 14+7+17+2+11</v>
      </c>
      <c r="CQ38" s="531">
        <f t="shared" si="10"/>
        <v>77</v>
      </c>
      <c r="CR38" s="368" t="str">
        <f t="shared" si="11"/>
        <v>Kälbergülle</v>
      </c>
      <c r="CS38" s="532">
        <f t="shared" si="12"/>
        <v>27</v>
      </c>
      <c r="CU38" s="505"/>
      <c r="CV38" s="368" t="str">
        <f t="shared" si="15"/>
        <v>Wintertriticale Korn + Stroh3 (13 % RP2)</v>
      </c>
      <c r="CW38" s="505">
        <f t="shared" si="16"/>
        <v>28</v>
      </c>
      <c r="CX38" s="368" t="str">
        <f t="shared" si="17"/>
        <v>Roggenkleie</v>
      </c>
      <c r="CY38" s="505">
        <f t="shared" si="18"/>
        <v>28</v>
      </c>
    </row>
    <row r="39" spans="1:103" ht="18" customHeight="1" x14ac:dyDescent="0.2">
      <c r="A39" s="368"/>
      <c r="B39" s="369"/>
      <c r="C39" s="533">
        <f t="shared" si="31"/>
        <v>28</v>
      </c>
      <c r="D39" s="636"/>
      <c r="E39" s="534"/>
      <c r="F39" s="535"/>
      <c r="G39" s="536"/>
      <c r="H39" s="465"/>
      <c r="I39" s="536"/>
      <c r="J39" s="465"/>
      <c r="K39" s="536"/>
      <c r="L39" s="536"/>
      <c r="M39" s="536"/>
      <c r="N39" s="536"/>
      <c r="O39" s="536"/>
      <c r="P39" s="536"/>
      <c r="Q39" s="637">
        <v>0.3</v>
      </c>
      <c r="R39" s="638">
        <v>0.33</v>
      </c>
      <c r="S39" s="369"/>
      <c r="T39" s="511">
        <f t="shared" si="4"/>
        <v>79</v>
      </c>
      <c r="U39" s="496" t="s">
        <v>338</v>
      </c>
      <c r="V39" s="497">
        <v>12</v>
      </c>
      <c r="W39" s="497"/>
      <c r="X39" s="497">
        <v>18</v>
      </c>
      <c r="Y39" s="497">
        <v>6</v>
      </c>
      <c r="Z39" s="497">
        <v>6</v>
      </c>
      <c r="AA39" s="497">
        <v>-4</v>
      </c>
      <c r="AB39" s="512"/>
      <c r="AC39" s="369"/>
      <c r="AD39" s="527">
        <f t="shared" si="33"/>
        <v>28</v>
      </c>
      <c r="AE39" s="528" t="s">
        <v>339</v>
      </c>
      <c r="AF39" s="529"/>
      <c r="AG39" s="539">
        <v>10</v>
      </c>
      <c r="AH39" s="539">
        <v>82</v>
      </c>
      <c r="AI39" s="530">
        <f t="shared" si="32"/>
        <v>3.9359999999999995</v>
      </c>
      <c r="AJ39" s="530">
        <v>4.8</v>
      </c>
      <c r="AK39" s="530">
        <f>AJ39*55/100</f>
        <v>2.64</v>
      </c>
      <c r="AL39" s="530">
        <v>2.2000000000000002</v>
      </c>
      <c r="AM39" s="541">
        <v>5.4</v>
      </c>
      <c r="AN39" s="541">
        <v>1</v>
      </c>
      <c r="AO39" s="369"/>
      <c r="AP39" s="369"/>
      <c r="AQ39" s="369"/>
      <c r="AR39" s="369"/>
      <c r="AS39" s="369"/>
      <c r="AT39" s="369"/>
      <c r="AU39" s="369"/>
      <c r="AV39" s="369"/>
      <c r="AW39" s="495">
        <f t="shared" si="7"/>
        <v>30</v>
      </c>
      <c r="AX39" s="496" t="str">
        <f t="shared" si="34"/>
        <v>Sommerfuttergerste Stroh (12 % RP2)</v>
      </c>
      <c r="AY39" s="496" t="s">
        <v>197</v>
      </c>
      <c r="AZ39" s="499">
        <v>86</v>
      </c>
      <c r="BA39" s="499" t="s">
        <v>189</v>
      </c>
      <c r="BB39" s="579">
        <v>0.5</v>
      </c>
      <c r="BC39" s="524">
        <v>0.3</v>
      </c>
      <c r="BD39" s="525">
        <v>0.13</v>
      </c>
      <c r="BE39" s="526"/>
      <c r="BF39" s="493"/>
      <c r="BG39" s="493"/>
      <c r="BH39" s="494"/>
      <c r="BI39" s="369"/>
      <c r="BJ39" s="593">
        <f t="shared" si="27"/>
        <v>30</v>
      </c>
      <c r="BK39" s="640" t="s">
        <v>340</v>
      </c>
      <c r="BL39" s="594">
        <v>88</v>
      </c>
      <c r="BM39" s="594"/>
      <c r="BN39" s="594"/>
      <c r="BO39" s="594">
        <v>8.7200000000000006</v>
      </c>
      <c r="BP39" s="594">
        <v>1.72</v>
      </c>
      <c r="BQ39" s="594">
        <v>0.76</v>
      </c>
      <c r="BR39" s="369"/>
      <c r="BS39" s="369"/>
      <c r="BT39" s="369"/>
      <c r="BU39" s="369"/>
      <c r="BV39" s="369"/>
      <c r="BW39" s="369"/>
      <c r="BX39" s="369"/>
      <c r="BY39" s="369"/>
      <c r="BZ39" s="369"/>
      <c r="CB39" s="369"/>
      <c r="CC39" s="369"/>
      <c r="CD39" s="369"/>
      <c r="CE39" s="369"/>
      <c r="CF39" s="369"/>
      <c r="CG39" s="369"/>
      <c r="CH39" s="369"/>
      <c r="CI39" s="369"/>
      <c r="CJ39" s="369"/>
      <c r="CN39" s="368">
        <f t="shared" si="0"/>
        <v>0</v>
      </c>
      <c r="CO39" s="505">
        <f t="shared" si="1"/>
        <v>28</v>
      </c>
      <c r="CP39" s="368" t="str">
        <f t="shared" si="9"/>
        <v>Nitrophoska spezial 12+12+17+2+6</v>
      </c>
      <c r="CQ39" s="531">
        <f t="shared" si="10"/>
        <v>78</v>
      </c>
      <c r="CR39" s="368" t="str">
        <f t="shared" si="11"/>
        <v>Bullengülle</v>
      </c>
      <c r="CS39" s="532">
        <f t="shared" si="12"/>
        <v>28</v>
      </c>
      <c r="CU39" s="505"/>
      <c r="CV39" s="368" t="str">
        <f t="shared" si="15"/>
        <v>Sommerfuttergerste Korn (12 % RP2)</v>
      </c>
      <c r="CW39" s="505">
        <f t="shared" si="16"/>
        <v>29</v>
      </c>
      <c r="CX39" s="368" t="str">
        <f t="shared" si="17"/>
        <v>Rübenkleinteile</v>
      </c>
      <c r="CY39" s="505">
        <f t="shared" si="18"/>
        <v>29</v>
      </c>
    </row>
    <row r="40" spans="1:103" ht="18" customHeight="1" x14ac:dyDescent="0.2">
      <c r="A40" s="368"/>
      <c r="B40" s="369"/>
      <c r="C40" s="533">
        <f t="shared" si="31"/>
        <v>29</v>
      </c>
      <c r="D40" s="636"/>
      <c r="E40" s="534"/>
      <c r="F40" s="535"/>
      <c r="G40" s="536"/>
      <c r="H40" s="465"/>
      <c r="I40" s="536"/>
      <c r="J40" s="465"/>
      <c r="K40" s="536"/>
      <c r="L40" s="536"/>
      <c r="M40" s="536"/>
      <c r="N40" s="536"/>
      <c r="O40" s="536"/>
      <c r="P40" s="536"/>
      <c r="Q40" s="637">
        <v>0.3</v>
      </c>
      <c r="R40" s="638">
        <v>0.33</v>
      </c>
      <c r="S40" s="369"/>
      <c r="T40" s="511">
        <f t="shared" si="4"/>
        <v>80</v>
      </c>
      <c r="U40" s="496" t="s">
        <v>341</v>
      </c>
      <c r="V40" s="497">
        <v>12</v>
      </c>
      <c r="W40" s="497">
        <v>12</v>
      </c>
      <c r="X40" s="497">
        <v>17</v>
      </c>
      <c r="Y40" s="497">
        <v>2</v>
      </c>
      <c r="Z40" s="497">
        <v>6</v>
      </c>
      <c r="AA40" s="497">
        <v>-12</v>
      </c>
      <c r="AB40" s="512"/>
      <c r="AC40" s="369"/>
      <c r="AD40" s="527">
        <f t="shared" si="33"/>
        <v>29</v>
      </c>
      <c r="AE40" s="528" t="s">
        <v>342</v>
      </c>
      <c r="AF40" s="529"/>
      <c r="AG40" s="539">
        <v>10</v>
      </c>
      <c r="AH40" s="539">
        <v>82</v>
      </c>
      <c r="AI40" s="530">
        <f t="shared" si="32"/>
        <v>3.8540000000000005</v>
      </c>
      <c r="AJ40" s="530">
        <v>4.7</v>
      </c>
      <c r="AK40" s="530">
        <f>AJ40*55/100</f>
        <v>2.585</v>
      </c>
      <c r="AL40" s="530">
        <v>1.8</v>
      </c>
      <c r="AM40" s="541">
        <v>7.5</v>
      </c>
      <c r="AN40" s="541">
        <v>0.7</v>
      </c>
      <c r="AO40" s="369"/>
      <c r="AP40" s="369"/>
      <c r="AQ40" s="369"/>
      <c r="AR40" s="369"/>
      <c r="AS40" s="369"/>
      <c r="AT40" s="369"/>
      <c r="AU40" s="369"/>
      <c r="AV40" s="369"/>
      <c r="AW40" s="495">
        <f t="shared" si="7"/>
        <v>31</v>
      </c>
      <c r="AX40" s="496" t="str">
        <f t="shared" si="34"/>
        <v>Sommerfuttergerste Korn + Stroh3 (12 % RP2)</v>
      </c>
      <c r="AY40" s="496" t="s">
        <v>265</v>
      </c>
      <c r="AZ40" s="499" t="s">
        <v>189</v>
      </c>
      <c r="BA40" s="499">
        <v>0.8</v>
      </c>
      <c r="BB40" s="579">
        <v>2.0499999999999998</v>
      </c>
      <c r="BC40" s="524">
        <v>1.04</v>
      </c>
      <c r="BD40" s="525">
        <v>0.46</v>
      </c>
      <c r="BE40" s="526"/>
      <c r="BF40" s="493"/>
      <c r="BG40" s="493"/>
      <c r="BH40" s="494"/>
      <c r="BI40" s="369"/>
      <c r="BJ40" s="593">
        <f t="shared" si="27"/>
        <v>31</v>
      </c>
      <c r="BK40" s="641" t="s">
        <v>343</v>
      </c>
      <c r="BL40" s="594">
        <v>88</v>
      </c>
      <c r="BM40" s="594"/>
      <c r="BN40" s="594"/>
      <c r="BO40" s="594">
        <v>8</v>
      </c>
      <c r="BP40" s="594">
        <v>1.67</v>
      </c>
      <c r="BQ40" s="594">
        <v>0.74</v>
      </c>
      <c r="BR40" s="369"/>
      <c r="BS40" s="369"/>
      <c r="BT40" s="369"/>
      <c r="BU40" s="369"/>
      <c r="BV40" s="369"/>
      <c r="BW40" s="369"/>
      <c r="BX40" s="369"/>
      <c r="BY40" s="369"/>
      <c r="BZ40" s="369"/>
      <c r="CB40" s="369"/>
      <c r="CC40" s="369"/>
      <c r="CD40" s="369"/>
      <c r="CE40" s="369"/>
      <c r="CF40" s="369"/>
      <c r="CG40" s="369"/>
      <c r="CH40" s="369"/>
      <c r="CI40" s="369"/>
      <c r="CJ40" s="369"/>
      <c r="CN40" s="368">
        <f t="shared" si="0"/>
        <v>0</v>
      </c>
      <c r="CO40" s="505">
        <f t="shared" si="1"/>
        <v>29</v>
      </c>
      <c r="CP40" s="368" t="str">
        <f t="shared" si="9"/>
        <v>Nitroka plus 12+0+18+6+6</v>
      </c>
      <c r="CQ40" s="531">
        <f t="shared" si="10"/>
        <v>79</v>
      </c>
      <c r="CR40" s="368" t="str">
        <f t="shared" si="11"/>
        <v>Färsengülle</v>
      </c>
      <c r="CS40" s="532">
        <f t="shared" si="12"/>
        <v>29</v>
      </c>
      <c r="CU40" s="505"/>
      <c r="CV40" s="368" t="str">
        <f t="shared" si="15"/>
        <v>Sommerfuttergerste Stroh (12 % RP2)</v>
      </c>
      <c r="CW40" s="505">
        <f t="shared" si="16"/>
        <v>30</v>
      </c>
      <c r="CX40" s="368" t="str">
        <f t="shared" si="17"/>
        <v>Sojaextraktionsschrot 48 % RP (HP, aus geschälter Saat)</v>
      </c>
      <c r="CY40" s="505">
        <f t="shared" si="18"/>
        <v>30</v>
      </c>
    </row>
    <row r="41" spans="1:103" ht="18" customHeight="1" x14ac:dyDescent="0.2">
      <c r="A41" s="368"/>
      <c r="B41" s="369"/>
      <c r="C41" s="533">
        <f t="shared" si="31"/>
        <v>30</v>
      </c>
      <c r="D41" s="636"/>
      <c r="E41" s="534"/>
      <c r="F41" s="535"/>
      <c r="G41" s="536"/>
      <c r="H41" s="465"/>
      <c r="I41" s="536"/>
      <c r="J41" s="465"/>
      <c r="K41" s="536"/>
      <c r="L41" s="536"/>
      <c r="M41" s="536"/>
      <c r="N41" s="536"/>
      <c r="O41" s="536"/>
      <c r="P41" s="536"/>
      <c r="Q41" s="637">
        <v>0.3</v>
      </c>
      <c r="R41" s="638">
        <v>0.33</v>
      </c>
      <c r="S41" s="369"/>
      <c r="T41" s="511">
        <f t="shared" si="4"/>
        <v>81</v>
      </c>
      <c r="U41" s="496" t="s">
        <v>344</v>
      </c>
      <c r="V41" s="497">
        <v>13</v>
      </c>
      <c r="W41" s="497">
        <v>13</v>
      </c>
      <c r="X41" s="497">
        <v>21</v>
      </c>
      <c r="Y41" s="497"/>
      <c r="Z41" s="497">
        <v>2</v>
      </c>
      <c r="AA41" s="497">
        <v>-13</v>
      </c>
      <c r="AB41" s="512"/>
      <c r="AC41" s="369"/>
      <c r="AD41" s="527">
        <f t="shared" si="33"/>
        <v>30</v>
      </c>
      <c r="AE41" s="528" t="s">
        <v>345</v>
      </c>
      <c r="AF41" s="529"/>
      <c r="AG41" s="539">
        <v>5</v>
      </c>
      <c r="AH41" s="539">
        <v>86</v>
      </c>
      <c r="AI41" s="530">
        <f t="shared" si="32"/>
        <v>3.87</v>
      </c>
      <c r="AJ41" s="530">
        <v>4.5</v>
      </c>
      <c r="AK41" s="530">
        <v>3</v>
      </c>
      <c r="AL41" s="530">
        <v>3.2</v>
      </c>
      <c r="AM41" s="541">
        <v>3</v>
      </c>
      <c r="AN41" s="541">
        <v>1.2</v>
      </c>
      <c r="AO41" s="369"/>
      <c r="AP41" s="369"/>
      <c r="AQ41" s="369"/>
      <c r="AR41" s="369"/>
      <c r="AS41" s="369"/>
      <c r="AT41" s="369"/>
      <c r="AU41" s="369"/>
      <c r="AV41" s="369"/>
      <c r="AW41" s="587">
        <f t="shared" si="7"/>
        <v>32</v>
      </c>
      <c r="AX41" s="496" t="str">
        <f t="shared" si="34"/>
        <v>Sommerfuttergerste Korn (13 % RP2)</v>
      </c>
      <c r="AY41" s="496" t="s">
        <v>270</v>
      </c>
      <c r="AZ41" s="499">
        <v>86</v>
      </c>
      <c r="BA41" s="499" t="s">
        <v>189</v>
      </c>
      <c r="BB41" s="579">
        <v>1.79</v>
      </c>
      <c r="BC41" s="524">
        <v>0.8</v>
      </c>
      <c r="BD41" s="525">
        <v>0.35</v>
      </c>
      <c r="BE41" s="588"/>
      <c r="BF41" s="589"/>
      <c r="BG41" s="589"/>
      <c r="BH41" s="590"/>
      <c r="BI41" s="369"/>
      <c r="BJ41" s="593">
        <f t="shared" si="27"/>
        <v>32</v>
      </c>
      <c r="BK41" s="470" t="s">
        <v>346</v>
      </c>
      <c r="BL41" s="594">
        <v>88</v>
      </c>
      <c r="BM41" s="594"/>
      <c r="BN41" s="594"/>
      <c r="BO41" s="594">
        <v>2.16</v>
      </c>
      <c r="BP41" s="594">
        <v>0.37</v>
      </c>
      <c r="BQ41" s="594">
        <v>0.16</v>
      </c>
      <c r="BR41" s="369"/>
      <c r="BS41" s="369"/>
      <c r="BT41" s="369"/>
      <c r="BU41" s="369"/>
      <c r="BV41" s="369"/>
      <c r="BW41" s="369"/>
      <c r="BX41" s="369"/>
      <c r="BY41" s="369"/>
      <c r="BZ41" s="369"/>
      <c r="CB41" s="369"/>
      <c r="CC41" s="369"/>
      <c r="CD41" s="369"/>
      <c r="CE41" s="369"/>
      <c r="CF41" s="369"/>
      <c r="CG41" s="369"/>
      <c r="CH41" s="369"/>
      <c r="CI41" s="369"/>
      <c r="CJ41" s="369"/>
      <c r="CN41" s="368">
        <f t="shared" si="0"/>
        <v>0</v>
      </c>
      <c r="CO41" s="505">
        <f t="shared" si="1"/>
        <v>30</v>
      </c>
      <c r="CP41" s="368" t="str">
        <f t="shared" si="9"/>
        <v>NPK 12+12+17+2+6</v>
      </c>
      <c r="CQ41" s="531">
        <f t="shared" si="10"/>
        <v>80</v>
      </c>
      <c r="CR41" s="368" t="str">
        <f t="shared" si="11"/>
        <v>Sauengülle; Ferkel 8 kg</v>
      </c>
      <c r="CS41" s="532">
        <f t="shared" si="12"/>
        <v>30</v>
      </c>
      <c r="CU41" s="505"/>
      <c r="CV41" s="368" t="str">
        <f t="shared" si="15"/>
        <v>Sommerfuttergerste Korn + Stroh3 (12 % RP2)</v>
      </c>
      <c r="CW41" s="505">
        <f t="shared" si="16"/>
        <v>31</v>
      </c>
      <c r="CX41" s="368" t="str">
        <f t="shared" si="17"/>
        <v>Sojaextraktionsschrot 44 % RP (aus ungeschälter Saat)</v>
      </c>
      <c r="CY41" s="505">
        <f t="shared" si="18"/>
        <v>31</v>
      </c>
    </row>
    <row r="42" spans="1:103" ht="18" customHeight="1" x14ac:dyDescent="0.2">
      <c r="A42" s="368"/>
      <c r="B42" s="369"/>
      <c r="C42" s="533">
        <f t="shared" si="31"/>
        <v>31</v>
      </c>
      <c r="D42" s="636"/>
      <c r="E42" s="534"/>
      <c r="F42" s="535"/>
      <c r="G42" s="536"/>
      <c r="H42" s="465"/>
      <c r="I42" s="536"/>
      <c r="J42" s="465"/>
      <c r="K42" s="536"/>
      <c r="L42" s="536"/>
      <c r="M42" s="536"/>
      <c r="N42" s="536"/>
      <c r="O42" s="536"/>
      <c r="P42" s="536"/>
      <c r="Q42" s="637">
        <v>0.3</v>
      </c>
      <c r="R42" s="638">
        <v>0.33</v>
      </c>
      <c r="S42" s="369"/>
      <c r="T42" s="511">
        <f t="shared" si="4"/>
        <v>82</v>
      </c>
      <c r="U42" s="496" t="s">
        <v>87</v>
      </c>
      <c r="V42" s="497">
        <v>16</v>
      </c>
      <c r="W42" s="497">
        <v>16</v>
      </c>
      <c r="X42" s="497">
        <v>16</v>
      </c>
      <c r="Y42" s="497"/>
      <c r="Z42" s="497"/>
      <c r="AA42" s="497">
        <v>-16</v>
      </c>
      <c r="AB42" s="512"/>
      <c r="AC42" s="369"/>
      <c r="AD42" s="527">
        <f t="shared" si="33"/>
        <v>31</v>
      </c>
      <c r="AE42" s="528" t="s">
        <v>347</v>
      </c>
      <c r="AF42" s="529"/>
      <c r="AG42" s="539">
        <v>5</v>
      </c>
      <c r="AH42" s="539">
        <v>86</v>
      </c>
      <c r="AI42" s="530">
        <f t="shared" si="32"/>
        <v>3.87</v>
      </c>
      <c r="AJ42" s="530">
        <v>4.5</v>
      </c>
      <c r="AK42" s="530">
        <v>3</v>
      </c>
      <c r="AL42" s="530">
        <v>3.2</v>
      </c>
      <c r="AM42" s="541">
        <v>3</v>
      </c>
      <c r="AN42" s="541">
        <v>0.9</v>
      </c>
      <c r="AO42" s="369"/>
      <c r="AP42" s="369"/>
      <c r="AQ42" s="369"/>
      <c r="AR42" s="369"/>
      <c r="AS42" s="369"/>
      <c r="AT42" s="369"/>
      <c r="AU42" s="369"/>
      <c r="AV42" s="369"/>
      <c r="AW42" s="495">
        <f t="shared" si="7"/>
        <v>33</v>
      </c>
      <c r="AX42" s="496" t="str">
        <f t="shared" si="34"/>
        <v>Sommerfuttergerste Stroh (13 % RP2)</v>
      </c>
      <c r="AY42" s="522" t="s">
        <v>275</v>
      </c>
      <c r="AZ42" s="497">
        <v>86</v>
      </c>
      <c r="BA42" s="497" t="s">
        <v>189</v>
      </c>
      <c r="BB42" s="523">
        <v>0.5</v>
      </c>
      <c r="BC42" s="524">
        <v>0.3</v>
      </c>
      <c r="BD42" s="525">
        <v>0.13</v>
      </c>
      <c r="BE42" s="526">
        <v>0.41</v>
      </c>
      <c r="BF42" s="493">
        <v>0.33</v>
      </c>
      <c r="BG42" s="493">
        <v>1.1000000000000001</v>
      </c>
      <c r="BH42" s="494">
        <v>0.22</v>
      </c>
      <c r="BI42" s="369"/>
      <c r="BJ42" s="593">
        <f t="shared" si="27"/>
        <v>33</v>
      </c>
      <c r="BK42" s="641" t="s">
        <v>348</v>
      </c>
      <c r="BL42" s="594">
        <v>89</v>
      </c>
      <c r="BM42" s="594"/>
      <c r="BN42" s="594"/>
      <c r="BO42" s="594">
        <v>6.08</v>
      </c>
      <c r="BP42" s="594">
        <v>2.52</v>
      </c>
      <c r="BQ42" s="594">
        <v>1.1100000000000001</v>
      </c>
      <c r="BR42" s="369"/>
      <c r="BS42" s="369"/>
      <c r="BT42" s="369"/>
      <c r="BU42" s="369"/>
      <c r="BV42" s="369"/>
      <c r="BW42" s="369"/>
      <c r="BX42" s="369"/>
      <c r="BY42" s="369"/>
      <c r="BZ42" s="369"/>
      <c r="CB42" s="369"/>
      <c r="CC42" s="369"/>
      <c r="CD42" s="369"/>
      <c r="CE42" s="369"/>
      <c r="CF42" s="369"/>
      <c r="CG42" s="369"/>
      <c r="CH42" s="369"/>
      <c r="CI42" s="369"/>
      <c r="CJ42" s="369"/>
      <c r="CN42" s="368">
        <f t="shared" ref="CN42:CN73" si="35">D42</f>
        <v>0</v>
      </c>
      <c r="CO42" s="505">
        <f t="shared" ref="CO42:CO73" si="36">C42</f>
        <v>31</v>
      </c>
      <c r="CP42" s="368" t="str">
        <f t="shared" si="9"/>
        <v>NPK 13+13+21+0+2</v>
      </c>
      <c r="CQ42" s="531">
        <f t="shared" si="10"/>
        <v>81</v>
      </c>
      <c r="CR42" s="368" t="str">
        <f t="shared" si="11"/>
        <v>Sauengülle; Ferkel 28 kg</v>
      </c>
      <c r="CS42" s="532">
        <f t="shared" si="12"/>
        <v>31</v>
      </c>
      <c r="CU42" s="505"/>
      <c r="CV42" s="368" t="str">
        <f t="shared" si="15"/>
        <v>Sommerfuttergerste Korn (13 % RP2)</v>
      </c>
      <c r="CW42" s="505">
        <f t="shared" si="16"/>
        <v>32</v>
      </c>
      <c r="CX42" s="368" t="str">
        <f t="shared" si="17"/>
        <v>Sojaschalen</v>
      </c>
      <c r="CY42" s="505">
        <f t="shared" si="18"/>
        <v>32</v>
      </c>
    </row>
    <row r="43" spans="1:103" ht="18" customHeight="1" x14ac:dyDescent="0.2">
      <c r="A43" s="368"/>
      <c r="B43" s="369"/>
      <c r="C43" s="533">
        <f t="shared" si="31"/>
        <v>32</v>
      </c>
      <c r="D43" s="642"/>
      <c r="E43" s="643"/>
      <c r="F43" s="644"/>
      <c r="G43" s="645"/>
      <c r="H43" s="645"/>
      <c r="I43" s="645"/>
      <c r="J43" s="645"/>
      <c r="K43" s="645"/>
      <c r="L43" s="645"/>
      <c r="M43" s="645"/>
      <c r="N43" s="645"/>
      <c r="O43" s="645"/>
      <c r="P43" s="645"/>
      <c r="Q43" s="646">
        <v>0.3</v>
      </c>
      <c r="R43" s="647">
        <v>0.33</v>
      </c>
      <c r="S43" s="369"/>
      <c r="T43" s="511">
        <f t="shared" ref="T43:T74" si="37">T42+1</f>
        <v>83</v>
      </c>
      <c r="U43" s="554" t="s">
        <v>349</v>
      </c>
      <c r="V43" s="556">
        <v>15</v>
      </c>
      <c r="W43" s="556">
        <v>15</v>
      </c>
      <c r="X43" s="556">
        <v>15</v>
      </c>
      <c r="Y43" s="556"/>
      <c r="Z43" s="556"/>
      <c r="AA43" s="556">
        <v>-16</v>
      </c>
      <c r="AB43" s="607"/>
      <c r="AC43" s="369"/>
      <c r="AD43" s="527">
        <f t="shared" si="33"/>
        <v>32</v>
      </c>
      <c r="AE43" s="528" t="s">
        <v>350</v>
      </c>
      <c r="AF43" s="529"/>
      <c r="AG43" s="539">
        <v>2</v>
      </c>
      <c r="AH43" s="539">
        <v>86</v>
      </c>
      <c r="AI43" s="530">
        <f t="shared" si="32"/>
        <v>2.5972000000000004</v>
      </c>
      <c r="AJ43" s="530">
        <v>3.02</v>
      </c>
      <c r="AK43" s="530">
        <f t="shared" ref="AK43:AK49" si="38">AJ43*70/100</f>
        <v>2.1139999999999999</v>
      </c>
      <c r="AL43" s="530">
        <v>1.02</v>
      </c>
      <c r="AM43" s="541">
        <v>2.1</v>
      </c>
      <c r="AN43" s="541">
        <v>1.2</v>
      </c>
      <c r="AO43" s="369"/>
      <c r="AP43" s="369"/>
      <c r="AQ43" s="369"/>
      <c r="AR43" s="369"/>
      <c r="AS43" s="369"/>
      <c r="AT43" s="369"/>
      <c r="AU43" s="369"/>
      <c r="AV43" s="369"/>
      <c r="AW43" s="495">
        <f t="shared" si="7"/>
        <v>34</v>
      </c>
      <c r="AX43" s="554" t="str">
        <f t="shared" si="34"/>
        <v>Sommerfuttergerste Korn + Stroh3 (13 % RP2)</v>
      </c>
      <c r="AY43" s="555" t="s">
        <v>281</v>
      </c>
      <c r="AZ43" s="556" t="s">
        <v>189</v>
      </c>
      <c r="BA43" s="556">
        <v>0.8</v>
      </c>
      <c r="BB43" s="557">
        <v>2.19</v>
      </c>
      <c r="BC43" s="558">
        <v>1.04</v>
      </c>
      <c r="BD43" s="559">
        <v>0.46</v>
      </c>
      <c r="BE43" s="526"/>
      <c r="BF43" s="493"/>
      <c r="BG43" s="493"/>
      <c r="BH43" s="494"/>
      <c r="BI43" s="369"/>
      <c r="BJ43" s="593">
        <f t="shared" si="27"/>
        <v>34</v>
      </c>
      <c r="BK43" s="470" t="s">
        <v>351</v>
      </c>
      <c r="BL43" s="594">
        <v>35</v>
      </c>
      <c r="BM43" s="594"/>
      <c r="BN43" s="594"/>
      <c r="BO43" s="594">
        <v>1.34</v>
      </c>
      <c r="BP43" s="594">
        <v>0.56000000000000005</v>
      </c>
      <c r="BQ43" s="594">
        <v>0.25</v>
      </c>
      <c r="BR43" s="369"/>
      <c r="BS43" s="369"/>
      <c r="BT43" s="369"/>
      <c r="BU43" s="369"/>
      <c r="BV43" s="369"/>
      <c r="BW43" s="369"/>
      <c r="BX43" s="369"/>
      <c r="BY43" s="369"/>
      <c r="BZ43" s="369"/>
      <c r="CB43" s="369"/>
      <c r="CC43" s="369"/>
      <c r="CD43" s="369"/>
      <c r="CE43" s="369"/>
      <c r="CF43" s="369"/>
      <c r="CG43" s="369"/>
      <c r="CH43" s="369"/>
      <c r="CI43" s="369"/>
      <c r="CJ43" s="369"/>
      <c r="CN43" s="368">
        <f t="shared" si="35"/>
        <v>0</v>
      </c>
      <c r="CO43" s="505">
        <f t="shared" si="36"/>
        <v>32</v>
      </c>
      <c r="CP43" s="368" t="str">
        <f t="shared" ref="CP43:CP74" si="39">U42</f>
        <v>NPK 16+16+16</v>
      </c>
      <c r="CQ43" s="531">
        <f t="shared" ref="CQ43:CQ74" si="40">T42</f>
        <v>82</v>
      </c>
      <c r="CR43" s="368" t="str">
        <f t="shared" ref="CR43:CR59" si="41">AE43</f>
        <v>Sauengülle (RAM); Schwarze</v>
      </c>
      <c r="CS43" s="532">
        <f t="shared" ref="CS43:CS59" si="42">AD43</f>
        <v>32</v>
      </c>
      <c r="CU43" s="505"/>
      <c r="CV43" s="368" t="str">
        <f t="shared" ref="CV43:CV74" si="43">AX42</f>
        <v>Sommerfuttergerste Stroh (13 % RP2)</v>
      </c>
      <c r="CW43" s="505">
        <f t="shared" ref="CW43:CW74" si="44">AW42</f>
        <v>33</v>
      </c>
      <c r="CX43" s="368" t="str">
        <f t="shared" ref="CX43:CX70" si="45">BK42</f>
        <v>Sonnenblumenextraktionsschrot, aus teilgeschälter Saat</v>
      </c>
      <c r="CY43" s="505">
        <f t="shared" ref="CY43:CY70" si="46">BJ42</f>
        <v>33</v>
      </c>
    </row>
    <row r="44" spans="1:103" ht="18" customHeight="1" x14ac:dyDescent="0.2">
      <c r="A44" s="368"/>
      <c r="B44" s="369"/>
      <c r="C44" s="648">
        <f t="shared" si="31"/>
        <v>33</v>
      </c>
      <c r="D44" s="649"/>
      <c r="E44" s="650"/>
      <c r="F44" s="651"/>
      <c r="G44" s="652"/>
      <c r="H44" s="652"/>
      <c r="I44" s="652"/>
      <c r="J44" s="652"/>
      <c r="K44" s="652"/>
      <c r="L44" s="652"/>
      <c r="M44" s="652"/>
      <c r="N44" s="652"/>
      <c r="O44" s="652"/>
      <c r="P44" s="652"/>
      <c r="Q44" s="653">
        <v>0.3</v>
      </c>
      <c r="R44" s="653">
        <v>0.33</v>
      </c>
      <c r="S44" s="369"/>
      <c r="T44" s="654">
        <f t="shared" si="37"/>
        <v>84</v>
      </c>
      <c r="U44" s="602" t="s">
        <v>352</v>
      </c>
      <c r="V44" s="603"/>
      <c r="W44" s="603">
        <v>18</v>
      </c>
      <c r="X44" s="603"/>
      <c r="Y44" s="603"/>
      <c r="Z44" s="603">
        <v>12</v>
      </c>
      <c r="AA44" s="603">
        <v>-1</v>
      </c>
      <c r="AB44" s="604"/>
      <c r="AC44" s="369"/>
      <c r="AD44" s="527">
        <f t="shared" si="33"/>
        <v>33</v>
      </c>
      <c r="AE44" s="528" t="s">
        <v>353</v>
      </c>
      <c r="AF44" s="529"/>
      <c r="AG44" s="539">
        <v>5</v>
      </c>
      <c r="AH44" s="539">
        <v>86</v>
      </c>
      <c r="AI44" s="530">
        <f t="shared" si="32"/>
        <v>3.44</v>
      </c>
      <c r="AJ44" s="530">
        <v>4</v>
      </c>
      <c r="AK44" s="530">
        <f t="shared" si="38"/>
        <v>2.8</v>
      </c>
      <c r="AL44" s="530">
        <v>2.6</v>
      </c>
      <c r="AM44" s="541">
        <v>2.6</v>
      </c>
      <c r="AN44" s="541">
        <v>0.9</v>
      </c>
      <c r="AO44" s="369"/>
      <c r="AP44" s="369"/>
      <c r="AQ44" s="369"/>
      <c r="AR44" s="369"/>
      <c r="AS44" s="369"/>
      <c r="AT44" s="369"/>
      <c r="AU44" s="369"/>
      <c r="AV44" s="369"/>
      <c r="AW44" s="495">
        <f t="shared" si="7"/>
        <v>35</v>
      </c>
      <c r="AX44" s="564" t="str">
        <f t="shared" ref="AX44:AX49" si="47">CONCATENATE("Braugerste ",AY44)</f>
        <v>Braugerste Korn (10 % RP2)</v>
      </c>
      <c r="AY44" s="565" t="s">
        <v>354</v>
      </c>
      <c r="AZ44" s="566">
        <v>86</v>
      </c>
      <c r="BA44" s="566" t="s">
        <v>189</v>
      </c>
      <c r="BB44" s="567">
        <v>1.38</v>
      </c>
      <c r="BC44" s="568">
        <v>0.8</v>
      </c>
      <c r="BD44" s="569">
        <v>0.35</v>
      </c>
      <c r="BE44" s="526">
        <v>0.2</v>
      </c>
      <c r="BF44" s="493">
        <v>0.16</v>
      </c>
      <c r="BG44" s="493">
        <v>0.57999999999999996</v>
      </c>
      <c r="BH44" s="494">
        <v>0.11</v>
      </c>
      <c r="BI44" s="369"/>
      <c r="BJ44" s="593">
        <f t="shared" si="27"/>
        <v>35</v>
      </c>
      <c r="BK44" s="470" t="s">
        <v>355</v>
      </c>
      <c r="BL44" s="594">
        <v>6.4</v>
      </c>
      <c r="BM44" s="594"/>
      <c r="BN44" s="594"/>
      <c r="BO44" s="594">
        <v>1.58</v>
      </c>
      <c r="BP44" s="594">
        <v>2.75</v>
      </c>
      <c r="BQ44" s="594">
        <v>1.21</v>
      </c>
      <c r="BR44" s="369"/>
      <c r="BS44" s="369"/>
      <c r="BT44" s="369"/>
      <c r="BU44" s="369"/>
      <c r="BV44" s="369"/>
      <c r="BW44" s="369"/>
      <c r="BX44" s="369"/>
      <c r="BY44" s="369"/>
      <c r="BZ44" s="369"/>
      <c r="CB44" s="369"/>
      <c r="CC44" s="369"/>
      <c r="CD44" s="369"/>
      <c r="CE44" s="369"/>
      <c r="CF44" s="369"/>
      <c r="CG44" s="369"/>
      <c r="CH44" s="369"/>
      <c r="CI44" s="369"/>
      <c r="CJ44" s="369"/>
      <c r="CN44" s="368">
        <f t="shared" si="35"/>
        <v>0</v>
      </c>
      <c r="CO44" s="505">
        <f t="shared" si="36"/>
        <v>33</v>
      </c>
      <c r="CP44" s="368" t="str">
        <f t="shared" si="39"/>
        <v>NPK 15+15+15</v>
      </c>
      <c r="CQ44" s="531">
        <f t="shared" si="40"/>
        <v>83</v>
      </c>
      <c r="CR44" s="368" t="str">
        <f t="shared" si="41"/>
        <v>Sauengülle (RAM); Ferkel 28 kg</v>
      </c>
      <c r="CS44" s="532">
        <f t="shared" si="42"/>
        <v>33</v>
      </c>
      <c r="CU44" s="505"/>
      <c r="CV44" s="368" t="str">
        <f t="shared" si="43"/>
        <v>Sommerfuttergerste Korn + Stroh3 (13 % RP2)</v>
      </c>
      <c r="CW44" s="505">
        <f t="shared" si="44"/>
        <v>34</v>
      </c>
      <c r="CX44" s="368" t="str">
        <f t="shared" si="45"/>
        <v>Sonnenblumen, GPS2</v>
      </c>
      <c r="CY44" s="505">
        <f t="shared" si="46"/>
        <v>34</v>
      </c>
    </row>
    <row r="45" spans="1:103" ht="18" customHeight="1" x14ac:dyDescent="0.2">
      <c r="A45" s="368"/>
      <c r="B45" s="369"/>
      <c r="C45" s="648">
        <f t="shared" si="31"/>
        <v>34</v>
      </c>
      <c r="D45" s="649"/>
      <c r="E45" s="650"/>
      <c r="F45" s="651"/>
      <c r="G45" s="652"/>
      <c r="H45" s="652"/>
      <c r="I45" s="652"/>
      <c r="J45" s="652"/>
      <c r="K45" s="652"/>
      <c r="L45" s="652"/>
      <c r="M45" s="652"/>
      <c r="N45" s="652"/>
      <c r="O45" s="652"/>
      <c r="P45" s="652"/>
      <c r="Q45" s="653">
        <v>0.3</v>
      </c>
      <c r="R45" s="653">
        <v>0.33</v>
      </c>
      <c r="S45" s="369"/>
      <c r="T45" s="654">
        <f t="shared" si="37"/>
        <v>85</v>
      </c>
      <c r="U45" s="581" t="s">
        <v>356</v>
      </c>
      <c r="V45" s="582"/>
      <c r="W45" s="582">
        <v>45</v>
      </c>
      <c r="X45" s="582"/>
      <c r="Y45" s="582"/>
      <c r="Z45" s="582"/>
      <c r="AA45" s="582">
        <v>-3</v>
      </c>
      <c r="AB45" s="655"/>
      <c r="AC45" s="369"/>
      <c r="AD45" s="527">
        <f t="shared" si="33"/>
        <v>34</v>
      </c>
      <c r="AE45" s="528" t="s">
        <v>357</v>
      </c>
      <c r="AF45" s="529"/>
      <c r="AG45" s="539">
        <v>4</v>
      </c>
      <c r="AH45" s="539">
        <v>86</v>
      </c>
      <c r="AI45" s="530">
        <f t="shared" si="32"/>
        <v>3.44</v>
      </c>
      <c r="AJ45" s="530">
        <v>4</v>
      </c>
      <c r="AK45" s="530">
        <f t="shared" si="38"/>
        <v>2.8</v>
      </c>
      <c r="AL45" s="530">
        <f>IF(K36="",0,IF(N36="",0,K36/N36))</f>
        <v>0</v>
      </c>
      <c r="AM45" s="541">
        <f>IF(L36="",0,IF(N36="",0,L36/N36))</f>
        <v>0</v>
      </c>
      <c r="AN45" s="541">
        <v>0</v>
      </c>
      <c r="AO45" s="369"/>
      <c r="AP45" s="369"/>
      <c r="AQ45" s="369"/>
      <c r="AR45" s="369"/>
      <c r="AS45" s="369"/>
      <c r="AT45" s="369"/>
      <c r="AU45" s="369"/>
      <c r="AV45" s="369"/>
      <c r="AW45" s="495">
        <f t="shared" si="7"/>
        <v>36</v>
      </c>
      <c r="AX45" s="496" t="str">
        <f t="shared" si="47"/>
        <v>Braugerste Stroh (10 % RP2)</v>
      </c>
      <c r="AY45" s="496" t="s">
        <v>358</v>
      </c>
      <c r="AZ45" s="499">
        <v>86</v>
      </c>
      <c r="BA45" s="499" t="s">
        <v>189</v>
      </c>
      <c r="BB45" s="579">
        <v>0.5</v>
      </c>
      <c r="BC45" s="524">
        <v>0.3</v>
      </c>
      <c r="BD45" s="525">
        <v>0.13</v>
      </c>
      <c r="BE45" s="526"/>
      <c r="BF45" s="493"/>
      <c r="BG45" s="493"/>
      <c r="BH45" s="494"/>
      <c r="BI45" s="369"/>
      <c r="BJ45" s="593">
        <f t="shared" si="27"/>
        <v>36</v>
      </c>
      <c r="BK45" s="470" t="s">
        <v>359</v>
      </c>
      <c r="BL45" s="594">
        <v>6</v>
      </c>
      <c r="BM45" s="594"/>
      <c r="BN45" s="594"/>
      <c r="BO45" s="594">
        <v>2.16</v>
      </c>
      <c r="BP45" s="594">
        <v>1.53</v>
      </c>
      <c r="BQ45" s="594">
        <v>0.68</v>
      </c>
      <c r="BR45" s="369"/>
      <c r="BS45" s="369"/>
      <c r="BT45" s="369"/>
      <c r="BU45" s="369"/>
      <c r="BV45" s="369"/>
      <c r="BW45" s="369"/>
      <c r="BX45" s="369"/>
      <c r="BY45" s="369"/>
      <c r="BZ45" s="369"/>
      <c r="CB45" s="369"/>
      <c r="CC45" s="369"/>
      <c r="CD45" s="369"/>
      <c r="CE45" s="369"/>
      <c r="CF45" s="369"/>
      <c r="CG45" s="369"/>
      <c r="CH45" s="369"/>
      <c r="CI45" s="369"/>
      <c r="CJ45" s="369"/>
      <c r="CN45" s="368">
        <f t="shared" si="35"/>
        <v>0</v>
      </c>
      <c r="CO45" s="505">
        <f t="shared" si="36"/>
        <v>34</v>
      </c>
      <c r="CP45" s="368" t="str">
        <f t="shared" si="39"/>
        <v>Superphosphat</v>
      </c>
      <c r="CQ45" s="531">
        <f t="shared" si="40"/>
        <v>84</v>
      </c>
      <c r="CR45" s="368" t="str">
        <f t="shared" si="41"/>
        <v>Ferkelgülle</v>
      </c>
      <c r="CS45" s="532">
        <f t="shared" si="42"/>
        <v>34</v>
      </c>
      <c r="CU45" s="505"/>
      <c r="CV45" s="368" t="str">
        <f t="shared" si="43"/>
        <v>Braugerste Korn (10 % RP2)</v>
      </c>
      <c r="CW45" s="505">
        <f t="shared" si="44"/>
        <v>35</v>
      </c>
      <c r="CX45" s="368" t="str">
        <f t="shared" si="45"/>
        <v>Sauermolke, frisch</v>
      </c>
      <c r="CY45" s="505">
        <f t="shared" si="46"/>
        <v>35</v>
      </c>
    </row>
    <row r="46" spans="1:103" ht="18" customHeight="1" x14ac:dyDescent="0.2">
      <c r="A46" s="368"/>
      <c r="B46" s="369"/>
      <c r="C46" s="648">
        <f t="shared" si="31"/>
        <v>35</v>
      </c>
      <c r="D46" s="649"/>
      <c r="E46" s="650"/>
      <c r="F46" s="651"/>
      <c r="G46" s="652"/>
      <c r="H46" s="652"/>
      <c r="I46" s="652"/>
      <c r="J46" s="652"/>
      <c r="K46" s="652"/>
      <c r="L46" s="652"/>
      <c r="M46" s="652"/>
      <c r="N46" s="652"/>
      <c r="O46" s="652"/>
      <c r="P46" s="652"/>
      <c r="Q46" s="653">
        <v>0.3</v>
      </c>
      <c r="R46" s="653">
        <v>0.33</v>
      </c>
      <c r="S46" s="369"/>
      <c r="T46" s="654">
        <f t="shared" si="37"/>
        <v>86</v>
      </c>
      <c r="U46" s="474" t="s">
        <v>360</v>
      </c>
      <c r="V46" s="475"/>
      <c r="W46" s="475"/>
      <c r="X46" s="475">
        <v>40</v>
      </c>
      <c r="Y46" s="475">
        <v>6</v>
      </c>
      <c r="Z46" s="475">
        <v>4</v>
      </c>
      <c r="AA46" s="475">
        <v>0</v>
      </c>
      <c r="AB46" s="476">
        <v>15</v>
      </c>
      <c r="AC46" s="369"/>
      <c r="AD46" s="527">
        <f t="shared" si="33"/>
        <v>35</v>
      </c>
      <c r="AE46" s="528" t="s">
        <v>361</v>
      </c>
      <c r="AF46" s="529"/>
      <c r="AG46" s="539">
        <v>4</v>
      </c>
      <c r="AH46" s="539">
        <v>86</v>
      </c>
      <c r="AI46" s="530">
        <f t="shared" si="32"/>
        <v>0</v>
      </c>
      <c r="AJ46" s="530">
        <f>IF(G38="",0,IF(N38="",0,G38/N38))</f>
        <v>0</v>
      </c>
      <c r="AK46" s="530">
        <f t="shared" si="38"/>
        <v>0</v>
      </c>
      <c r="AL46" s="530">
        <f>IF(K38="",0,IF(N38="",0,K38/N38))</f>
        <v>0</v>
      </c>
      <c r="AM46" s="541">
        <v>2.9</v>
      </c>
      <c r="AN46" s="541">
        <v>0</v>
      </c>
      <c r="AO46" s="369"/>
      <c r="AP46" s="369"/>
      <c r="AQ46" s="369"/>
      <c r="AR46" s="369"/>
      <c r="AS46" s="369"/>
      <c r="AT46" s="369"/>
      <c r="AU46" s="369"/>
      <c r="AV46" s="369"/>
      <c r="AW46" s="495">
        <f t="shared" si="7"/>
        <v>37</v>
      </c>
      <c r="AX46" s="496" t="str">
        <f t="shared" si="47"/>
        <v>Braugerste Korn + Stroh3 (10 % RP2)</v>
      </c>
      <c r="AY46" s="496" t="s">
        <v>362</v>
      </c>
      <c r="AZ46" s="499" t="s">
        <v>189</v>
      </c>
      <c r="BA46" s="499">
        <v>0.7</v>
      </c>
      <c r="BB46" s="579">
        <v>1.73</v>
      </c>
      <c r="BC46" s="524">
        <v>1.01</v>
      </c>
      <c r="BD46" s="525">
        <v>0.44</v>
      </c>
      <c r="BE46" s="526"/>
      <c r="BF46" s="493"/>
      <c r="BG46" s="493"/>
      <c r="BH46" s="494"/>
      <c r="BI46" s="369"/>
      <c r="BJ46" s="593">
        <f t="shared" si="27"/>
        <v>37</v>
      </c>
      <c r="BK46" s="470" t="s">
        <v>363</v>
      </c>
      <c r="BL46" s="594">
        <v>90</v>
      </c>
      <c r="BM46" s="594"/>
      <c r="BN46" s="594"/>
      <c r="BO46" s="594">
        <v>1.33</v>
      </c>
      <c r="BP46" s="594">
        <v>0.23</v>
      </c>
      <c r="BQ46" s="594">
        <v>0.1</v>
      </c>
      <c r="BR46" s="369"/>
      <c r="BS46" s="369"/>
      <c r="BT46" s="369"/>
      <c r="BU46" s="369"/>
      <c r="BV46" s="369"/>
      <c r="BW46" s="369"/>
      <c r="BX46" s="369"/>
      <c r="BY46" s="369"/>
      <c r="BZ46" s="369"/>
      <c r="CB46" s="369"/>
      <c r="CC46" s="369"/>
      <c r="CD46" s="369"/>
      <c r="CE46" s="369"/>
      <c r="CF46" s="369"/>
      <c r="CG46" s="369"/>
      <c r="CH46" s="369"/>
      <c r="CI46" s="369"/>
      <c r="CJ46" s="369"/>
      <c r="CN46" s="368">
        <f t="shared" si="35"/>
        <v>0</v>
      </c>
      <c r="CO46" s="505">
        <f t="shared" si="36"/>
        <v>35</v>
      </c>
      <c r="CP46" s="368" t="str">
        <f t="shared" si="39"/>
        <v>Platz</v>
      </c>
      <c r="CQ46" s="531">
        <f t="shared" si="40"/>
        <v>85</v>
      </c>
      <c r="CR46" s="368" t="str">
        <f t="shared" si="41"/>
        <v>Ferkelgülle RAM</v>
      </c>
      <c r="CS46" s="532">
        <f t="shared" si="42"/>
        <v>35</v>
      </c>
      <c r="CU46" s="505"/>
      <c r="CV46" s="368" t="str">
        <f t="shared" si="43"/>
        <v>Braugerste Stroh (10 % RP2)</v>
      </c>
      <c r="CW46" s="505">
        <f t="shared" si="44"/>
        <v>36</v>
      </c>
      <c r="CX46" s="368" t="str">
        <f t="shared" si="45"/>
        <v>Süßmolke, frisch</v>
      </c>
      <c r="CY46" s="505">
        <f t="shared" si="46"/>
        <v>36</v>
      </c>
    </row>
    <row r="47" spans="1:103" ht="18" customHeight="1" x14ac:dyDescent="0.2">
      <c r="A47" s="368"/>
      <c r="B47" s="369"/>
      <c r="C47" s="648">
        <f t="shared" si="31"/>
        <v>36</v>
      </c>
      <c r="D47" s="656"/>
      <c r="E47" s="650"/>
      <c r="F47" s="651"/>
      <c r="G47" s="652"/>
      <c r="H47" s="652"/>
      <c r="I47" s="652"/>
      <c r="J47" s="652"/>
      <c r="K47" s="652"/>
      <c r="L47" s="652"/>
      <c r="M47" s="652"/>
      <c r="N47" s="652"/>
      <c r="O47" s="652"/>
      <c r="P47" s="652"/>
      <c r="Q47" s="653">
        <v>0.16</v>
      </c>
      <c r="R47" s="653">
        <v>0.16</v>
      </c>
      <c r="S47" s="369"/>
      <c r="T47" s="654">
        <f t="shared" si="37"/>
        <v>87</v>
      </c>
      <c r="U47" s="496" t="s">
        <v>364</v>
      </c>
      <c r="V47" s="497"/>
      <c r="W47" s="497"/>
      <c r="X47" s="497">
        <v>40</v>
      </c>
      <c r="Y47" s="529"/>
      <c r="Z47" s="497"/>
      <c r="AA47" s="497">
        <v>0</v>
      </c>
      <c r="AB47" s="512"/>
      <c r="AC47" s="369"/>
      <c r="AD47" s="527">
        <f t="shared" si="33"/>
        <v>36</v>
      </c>
      <c r="AE47" s="528" t="s">
        <v>365</v>
      </c>
      <c r="AF47" s="529"/>
      <c r="AG47" s="539">
        <v>5</v>
      </c>
      <c r="AH47" s="539">
        <v>86</v>
      </c>
      <c r="AI47" s="530">
        <f t="shared" si="32"/>
        <v>4.3</v>
      </c>
      <c r="AJ47" s="530">
        <v>5</v>
      </c>
      <c r="AK47" s="530">
        <f t="shared" si="38"/>
        <v>3.5</v>
      </c>
      <c r="AL47" s="530">
        <v>2.8</v>
      </c>
      <c r="AM47" s="541">
        <v>3.3</v>
      </c>
      <c r="AN47" s="541">
        <v>1.1000000000000001</v>
      </c>
      <c r="AO47" s="369"/>
      <c r="AP47" s="369"/>
      <c r="AQ47" s="369"/>
      <c r="AR47" s="369"/>
      <c r="AS47" s="369"/>
      <c r="AT47" s="369"/>
      <c r="AU47" s="369"/>
      <c r="AV47" s="369"/>
      <c r="AW47" s="587">
        <f t="shared" si="7"/>
        <v>38</v>
      </c>
      <c r="AX47" s="496" t="str">
        <f t="shared" si="47"/>
        <v>Braugerste Korn (11 % RP2)</v>
      </c>
      <c r="AY47" s="496" t="s">
        <v>288</v>
      </c>
      <c r="AZ47" s="499">
        <v>86</v>
      </c>
      <c r="BA47" s="499" t="s">
        <v>189</v>
      </c>
      <c r="BB47" s="579">
        <v>1.51</v>
      </c>
      <c r="BC47" s="524">
        <v>0.8</v>
      </c>
      <c r="BD47" s="525">
        <v>0.35</v>
      </c>
      <c r="BE47" s="588"/>
      <c r="BF47" s="589"/>
      <c r="BG47" s="589"/>
      <c r="BH47" s="590"/>
      <c r="BI47" s="369"/>
      <c r="BJ47" s="593">
        <f t="shared" si="27"/>
        <v>38</v>
      </c>
      <c r="BK47" s="470" t="s">
        <v>366</v>
      </c>
      <c r="BL47" s="594">
        <v>13.5</v>
      </c>
      <c r="BM47" s="594"/>
      <c r="BN47" s="594"/>
      <c r="BO47" s="594">
        <v>4.16</v>
      </c>
      <c r="BP47" s="594">
        <v>1.67</v>
      </c>
      <c r="BQ47" s="594">
        <v>0.74</v>
      </c>
      <c r="BR47" s="369"/>
      <c r="BS47" s="369"/>
      <c r="BT47" s="369"/>
      <c r="BU47" s="369"/>
      <c r="BV47" s="369"/>
      <c r="BW47" s="369"/>
      <c r="BX47" s="369"/>
      <c r="BY47" s="369"/>
      <c r="BZ47" s="369"/>
      <c r="CB47" s="369"/>
      <c r="CC47" s="369"/>
      <c r="CD47" s="369"/>
      <c r="CE47" s="369"/>
      <c r="CF47" s="369"/>
      <c r="CG47" s="369"/>
      <c r="CH47" s="369"/>
      <c r="CI47" s="369"/>
      <c r="CJ47" s="369"/>
      <c r="CN47" s="368">
        <f t="shared" si="35"/>
        <v>0</v>
      </c>
      <c r="CO47" s="505">
        <f t="shared" si="36"/>
        <v>36</v>
      </c>
      <c r="CP47" s="368" t="str">
        <f t="shared" si="39"/>
        <v>Korn-Kali / Kamex</v>
      </c>
      <c r="CQ47" s="531">
        <f t="shared" si="40"/>
        <v>86</v>
      </c>
      <c r="CR47" s="368" t="str">
        <f t="shared" si="41"/>
        <v>Schweinegülle (Mast) fl-Futter</v>
      </c>
      <c r="CS47" s="532">
        <f t="shared" si="42"/>
        <v>36</v>
      </c>
      <c r="CU47" s="505"/>
      <c r="CV47" s="368" t="str">
        <f t="shared" si="43"/>
        <v>Braugerste Korn + Stroh3 (10 % RP2)</v>
      </c>
      <c r="CW47" s="505">
        <f t="shared" si="44"/>
        <v>37</v>
      </c>
      <c r="CX47" s="368" t="str">
        <f t="shared" si="45"/>
        <v>Trockenschnitzel</v>
      </c>
      <c r="CY47" s="505">
        <f t="shared" si="46"/>
        <v>37</v>
      </c>
    </row>
    <row r="48" spans="1:103" ht="18" customHeight="1" x14ac:dyDescent="0.2">
      <c r="A48" s="368"/>
      <c r="B48" s="369"/>
      <c r="C48" s="648">
        <f t="shared" si="31"/>
        <v>37</v>
      </c>
      <c r="D48" s="656"/>
      <c r="E48" s="650"/>
      <c r="F48" s="651"/>
      <c r="G48" s="652"/>
      <c r="H48" s="652"/>
      <c r="I48" s="652"/>
      <c r="J48" s="652"/>
      <c r="K48" s="652"/>
      <c r="L48" s="652"/>
      <c r="M48" s="652"/>
      <c r="N48" s="652"/>
      <c r="O48" s="652"/>
      <c r="P48" s="652"/>
      <c r="Q48" s="653">
        <v>0.16</v>
      </c>
      <c r="R48" s="653">
        <v>0.16</v>
      </c>
      <c r="S48" s="369"/>
      <c r="T48" s="654">
        <f t="shared" si="37"/>
        <v>88</v>
      </c>
      <c r="U48" s="496" t="s">
        <v>367</v>
      </c>
      <c r="V48" s="497"/>
      <c r="W48" s="497"/>
      <c r="X48" s="497">
        <v>30</v>
      </c>
      <c r="Y48" s="497">
        <v>10</v>
      </c>
      <c r="Z48" s="497">
        <v>17</v>
      </c>
      <c r="AA48" s="497">
        <v>0</v>
      </c>
      <c r="AB48" s="512"/>
      <c r="AC48" s="369"/>
      <c r="AD48" s="527">
        <f t="shared" si="33"/>
        <v>37</v>
      </c>
      <c r="AE48" s="528" t="s">
        <v>368</v>
      </c>
      <c r="AF48" s="529"/>
      <c r="AG48" s="539">
        <v>5</v>
      </c>
      <c r="AH48" s="539">
        <v>86</v>
      </c>
      <c r="AI48" s="530">
        <f t="shared" si="32"/>
        <v>3.5259999999999998</v>
      </c>
      <c r="AJ48" s="530">
        <v>4.0999999999999996</v>
      </c>
      <c r="AK48" s="530">
        <f t="shared" si="38"/>
        <v>2.87</v>
      </c>
      <c r="AL48" s="530">
        <v>2.7</v>
      </c>
      <c r="AM48" s="541">
        <v>3</v>
      </c>
      <c r="AN48" s="541">
        <v>1.1000000000000001</v>
      </c>
      <c r="AO48" s="369"/>
      <c r="AP48" s="369"/>
      <c r="AQ48" s="369"/>
      <c r="AR48" s="369"/>
      <c r="AS48" s="369"/>
      <c r="AT48" s="369"/>
      <c r="AU48" s="369"/>
      <c r="AV48" s="369"/>
      <c r="AW48" s="495">
        <f t="shared" si="7"/>
        <v>39</v>
      </c>
      <c r="AX48" s="496" t="str">
        <f t="shared" si="47"/>
        <v>Braugerste Stroh (11 % RP2)</v>
      </c>
      <c r="AY48" s="522" t="s">
        <v>295</v>
      </c>
      <c r="AZ48" s="497">
        <v>86</v>
      </c>
      <c r="BA48" s="497" t="s">
        <v>189</v>
      </c>
      <c r="BB48" s="523">
        <v>0.5</v>
      </c>
      <c r="BC48" s="524">
        <v>0.3</v>
      </c>
      <c r="BD48" s="525">
        <v>0.13</v>
      </c>
      <c r="BE48" s="526"/>
      <c r="BF48" s="493"/>
      <c r="BG48" s="493"/>
      <c r="BH48" s="494"/>
      <c r="BI48" s="369"/>
      <c r="BJ48" s="593">
        <f t="shared" si="27"/>
        <v>39</v>
      </c>
      <c r="BK48" s="470" t="s">
        <v>369</v>
      </c>
      <c r="BL48" s="594">
        <v>87.5</v>
      </c>
      <c r="BM48" s="594"/>
      <c r="BN48" s="594"/>
      <c r="BO48" s="594">
        <v>2.82</v>
      </c>
      <c r="BP48" s="594">
        <v>2.41</v>
      </c>
      <c r="BQ48" s="594">
        <v>1.06</v>
      </c>
      <c r="BR48" s="369"/>
      <c r="BS48" s="369"/>
      <c r="BT48" s="369"/>
      <c r="BU48" s="369"/>
      <c r="BV48" s="369"/>
      <c r="BW48" s="369"/>
      <c r="BX48" s="369"/>
      <c r="BY48" s="369"/>
      <c r="BZ48" s="369"/>
      <c r="CB48" s="369"/>
      <c r="CC48" s="369"/>
      <c r="CD48" s="369"/>
      <c r="CE48" s="369"/>
      <c r="CF48" s="369"/>
      <c r="CG48" s="369"/>
      <c r="CH48" s="369"/>
      <c r="CI48" s="369"/>
      <c r="CJ48" s="369"/>
      <c r="CN48" s="368">
        <f t="shared" si="35"/>
        <v>0</v>
      </c>
      <c r="CO48" s="505">
        <f t="shared" si="36"/>
        <v>37</v>
      </c>
      <c r="CP48" s="368" t="str">
        <f t="shared" si="39"/>
        <v>40er Kali</v>
      </c>
      <c r="CQ48" s="531">
        <f t="shared" si="40"/>
        <v>87</v>
      </c>
      <c r="CR48" s="368" t="str">
        <f t="shared" si="41"/>
        <v>Schweinegülle (Mast RAM) fl-Futter</v>
      </c>
      <c r="CS48" s="532">
        <f t="shared" si="42"/>
        <v>37</v>
      </c>
      <c r="CU48" s="505"/>
      <c r="CV48" s="368" t="str">
        <f t="shared" si="43"/>
        <v>Braugerste Korn (11 % RP2)</v>
      </c>
      <c r="CW48" s="505">
        <f t="shared" si="44"/>
        <v>38</v>
      </c>
      <c r="CX48" s="368" t="str">
        <f t="shared" si="45"/>
        <v>Vollmilch, frisch</v>
      </c>
      <c r="CY48" s="505">
        <f t="shared" si="46"/>
        <v>38</v>
      </c>
    </row>
    <row r="49" spans="1:103" ht="18" customHeight="1" x14ac:dyDescent="0.2">
      <c r="A49" s="368"/>
      <c r="B49" s="369"/>
      <c r="C49" s="648">
        <f t="shared" si="31"/>
        <v>38</v>
      </c>
      <c r="D49" s="656"/>
      <c r="E49" s="650"/>
      <c r="F49" s="651"/>
      <c r="G49" s="652"/>
      <c r="H49" s="652"/>
      <c r="I49" s="652"/>
      <c r="J49" s="652"/>
      <c r="K49" s="652"/>
      <c r="L49" s="652"/>
      <c r="M49" s="652"/>
      <c r="N49" s="652"/>
      <c r="O49" s="652"/>
      <c r="P49" s="652"/>
      <c r="Q49" s="653">
        <v>0.16</v>
      </c>
      <c r="R49" s="653">
        <v>0.16</v>
      </c>
      <c r="S49" s="369"/>
      <c r="T49" s="654">
        <f t="shared" si="37"/>
        <v>89</v>
      </c>
      <c r="U49" s="496" t="s">
        <v>370</v>
      </c>
      <c r="V49" s="497"/>
      <c r="W49" s="497"/>
      <c r="X49" s="497">
        <v>11</v>
      </c>
      <c r="Y49" s="497">
        <v>5</v>
      </c>
      <c r="Z49" s="497">
        <v>4</v>
      </c>
      <c r="AA49" s="497">
        <v>0</v>
      </c>
      <c r="AB49" s="512"/>
      <c r="AC49" s="369"/>
      <c r="AD49" s="527">
        <f t="shared" si="33"/>
        <v>38</v>
      </c>
      <c r="AE49" s="528" t="s">
        <v>371</v>
      </c>
      <c r="AF49" s="529"/>
      <c r="AG49" s="539">
        <v>5</v>
      </c>
      <c r="AH49" s="539">
        <v>86</v>
      </c>
      <c r="AI49" s="530">
        <f t="shared" si="32"/>
        <v>4.0419999999999998</v>
      </c>
      <c r="AJ49" s="530">
        <v>4.7</v>
      </c>
      <c r="AK49" s="530">
        <f t="shared" si="38"/>
        <v>3.29</v>
      </c>
      <c r="AL49" s="530">
        <v>2.8</v>
      </c>
      <c r="AM49" s="541">
        <v>3.3</v>
      </c>
      <c r="AN49" s="541">
        <v>1.1000000000000001</v>
      </c>
      <c r="AO49" s="369"/>
      <c r="AP49" s="369"/>
      <c r="AQ49" s="369"/>
      <c r="AR49" s="369"/>
      <c r="AS49" s="369"/>
      <c r="AT49" s="369"/>
      <c r="AU49" s="369"/>
      <c r="AV49" s="369"/>
      <c r="AW49" s="495">
        <f t="shared" si="7"/>
        <v>40</v>
      </c>
      <c r="AX49" s="554" t="str">
        <f t="shared" si="47"/>
        <v>Braugerste Korn + Stroh3 (11 % RP2)</v>
      </c>
      <c r="AY49" s="555" t="s">
        <v>300</v>
      </c>
      <c r="AZ49" s="556" t="s">
        <v>189</v>
      </c>
      <c r="BA49" s="556">
        <v>0.7</v>
      </c>
      <c r="BB49" s="557">
        <v>1.86</v>
      </c>
      <c r="BC49" s="558">
        <v>1.01</v>
      </c>
      <c r="BD49" s="559">
        <v>0.44</v>
      </c>
      <c r="BE49" s="526"/>
      <c r="BF49" s="493"/>
      <c r="BG49" s="493"/>
      <c r="BH49" s="494"/>
      <c r="BI49" s="369"/>
      <c r="BJ49" s="593">
        <f t="shared" si="27"/>
        <v>40</v>
      </c>
      <c r="BK49" s="470" t="s">
        <v>68</v>
      </c>
      <c r="BL49" s="594">
        <v>88</v>
      </c>
      <c r="BM49" s="594"/>
      <c r="BN49" s="594"/>
      <c r="BO49" s="594">
        <v>2.56</v>
      </c>
      <c r="BP49" s="594">
        <v>2.98</v>
      </c>
      <c r="BQ49" s="594">
        <v>1.31</v>
      </c>
      <c r="BR49" s="369"/>
      <c r="BS49" s="369"/>
      <c r="BT49" s="369"/>
      <c r="BU49" s="369"/>
      <c r="BV49" s="369"/>
      <c r="BW49" s="369"/>
      <c r="BX49" s="369"/>
      <c r="BY49" s="369"/>
      <c r="BZ49" s="369"/>
      <c r="CB49" s="369"/>
      <c r="CC49" s="369"/>
      <c r="CD49" s="369"/>
      <c r="CE49" s="369"/>
      <c r="CF49" s="369"/>
      <c r="CG49" s="369"/>
      <c r="CH49" s="369"/>
      <c r="CI49" s="369"/>
      <c r="CJ49" s="369"/>
      <c r="CN49" s="368">
        <f t="shared" si="35"/>
        <v>0</v>
      </c>
      <c r="CO49" s="505">
        <f t="shared" si="36"/>
        <v>38</v>
      </c>
      <c r="CP49" s="368" t="str">
        <f t="shared" si="39"/>
        <v>Kalimagnesia</v>
      </c>
      <c r="CQ49" s="531">
        <f t="shared" si="40"/>
        <v>88</v>
      </c>
      <c r="CR49" s="368" t="str">
        <f t="shared" si="41"/>
        <v>Schweinegülle (Mast) fl. 2-phasig</v>
      </c>
      <c r="CS49" s="532">
        <f t="shared" si="42"/>
        <v>38</v>
      </c>
      <c r="CU49" s="505"/>
      <c r="CV49" s="368" t="str">
        <f t="shared" si="43"/>
        <v>Braugerste Stroh (11 % RP2)</v>
      </c>
      <c r="CW49" s="505">
        <f t="shared" si="44"/>
        <v>39</v>
      </c>
      <c r="CX49" s="368" t="str">
        <f t="shared" si="45"/>
        <v>Weizengrießkleie</v>
      </c>
      <c r="CY49" s="505">
        <f t="shared" si="46"/>
        <v>39</v>
      </c>
    </row>
    <row r="50" spans="1:103" ht="18" customHeight="1" x14ac:dyDescent="0.2">
      <c r="A50" s="368"/>
      <c r="B50" s="369"/>
      <c r="C50" s="648">
        <f t="shared" si="31"/>
        <v>39</v>
      </c>
      <c r="D50" s="656"/>
      <c r="E50" s="650"/>
      <c r="F50" s="651"/>
      <c r="G50" s="652"/>
      <c r="H50" s="652"/>
      <c r="I50" s="652"/>
      <c r="J50" s="652"/>
      <c r="K50" s="652"/>
      <c r="L50" s="652"/>
      <c r="M50" s="652"/>
      <c r="N50" s="652"/>
      <c r="O50" s="652"/>
      <c r="P50" s="652"/>
      <c r="Q50" s="653">
        <v>0.16</v>
      </c>
      <c r="R50" s="653">
        <v>0.16</v>
      </c>
      <c r="S50" s="369"/>
      <c r="T50" s="654">
        <f t="shared" si="37"/>
        <v>90</v>
      </c>
      <c r="U50" s="496" t="s">
        <v>372</v>
      </c>
      <c r="V50" s="497"/>
      <c r="W50" s="497"/>
      <c r="X50" s="497">
        <v>50</v>
      </c>
      <c r="Y50" s="497"/>
      <c r="Z50" s="497">
        <v>18</v>
      </c>
      <c r="AA50" s="497">
        <v>0</v>
      </c>
      <c r="AB50" s="512"/>
      <c r="AC50" s="369"/>
      <c r="AD50" s="527">
        <f t="shared" si="33"/>
        <v>39</v>
      </c>
      <c r="AE50" s="528" t="s">
        <v>373</v>
      </c>
      <c r="AF50" s="529"/>
      <c r="AG50" s="539">
        <v>7</v>
      </c>
      <c r="AH50" s="539">
        <v>86</v>
      </c>
      <c r="AI50" s="530">
        <f t="shared" si="32"/>
        <v>6.3639999999999999</v>
      </c>
      <c r="AJ50" s="530">
        <v>7.4</v>
      </c>
      <c r="AK50" s="530">
        <v>5.3</v>
      </c>
      <c r="AL50" s="530">
        <v>4.3</v>
      </c>
      <c r="AM50" s="541">
        <v>4.9000000000000004</v>
      </c>
      <c r="AN50" s="541">
        <v>1.7</v>
      </c>
      <c r="AO50" s="369"/>
      <c r="AP50" s="369"/>
      <c r="AQ50" s="369"/>
      <c r="AR50" s="369"/>
      <c r="AS50" s="369"/>
      <c r="AT50" s="369"/>
      <c r="AU50" s="369"/>
      <c r="AV50" s="369"/>
      <c r="AW50" s="495">
        <f t="shared" si="7"/>
        <v>41</v>
      </c>
      <c r="AX50" s="564" t="str">
        <f t="shared" ref="AX50:AX55" si="48">CONCATENATE("Hafer ",AY50)</f>
        <v>Hafer Korn (11 % RP2)</v>
      </c>
      <c r="AY50" s="564" t="s">
        <v>288</v>
      </c>
      <c r="AZ50" s="596">
        <v>86</v>
      </c>
      <c r="BA50" s="596" t="s">
        <v>189</v>
      </c>
      <c r="BB50" s="597">
        <v>1.51</v>
      </c>
      <c r="BC50" s="568">
        <v>0.8</v>
      </c>
      <c r="BD50" s="569">
        <v>0.35</v>
      </c>
      <c r="BE50" s="526"/>
      <c r="BF50" s="493"/>
      <c r="BG50" s="493"/>
      <c r="BH50" s="494"/>
      <c r="BI50" s="369"/>
      <c r="BJ50" s="593">
        <f t="shared" si="27"/>
        <v>41</v>
      </c>
      <c r="BK50" s="470" t="s">
        <v>374</v>
      </c>
      <c r="BL50" s="594">
        <v>87</v>
      </c>
      <c r="BM50" s="594"/>
      <c r="BN50" s="594"/>
      <c r="BO50" s="594">
        <v>3.04</v>
      </c>
      <c r="BP50" s="594">
        <v>0.16</v>
      </c>
      <c r="BQ50" s="594">
        <v>0.71</v>
      </c>
      <c r="BR50" s="369"/>
      <c r="BS50" s="369"/>
      <c r="BT50" s="369"/>
      <c r="BU50" s="369"/>
      <c r="BV50" s="369"/>
      <c r="BW50" s="369"/>
      <c r="BX50" s="369"/>
      <c r="BY50" s="369"/>
      <c r="BZ50" s="369"/>
      <c r="CB50" s="369"/>
      <c r="CC50" s="369"/>
      <c r="CD50" s="369"/>
      <c r="CE50" s="369"/>
      <c r="CF50" s="369"/>
      <c r="CG50" s="369"/>
      <c r="CH50" s="369"/>
      <c r="CI50" s="369"/>
      <c r="CJ50" s="369"/>
      <c r="CN50" s="368">
        <f t="shared" si="35"/>
        <v>0</v>
      </c>
      <c r="CO50" s="505">
        <f t="shared" si="36"/>
        <v>39</v>
      </c>
      <c r="CP50" s="368" t="str">
        <f t="shared" si="39"/>
        <v>Magnesia-Kainit</v>
      </c>
      <c r="CQ50" s="531">
        <f t="shared" si="40"/>
        <v>89</v>
      </c>
      <c r="CR50" s="368" t="str">
        <f t="shared" si="41"/>
        <v>Schweinegülle Mast tr-Futter</v>
      </c>
      <c r="CS50" s="532">
        <f t="shared" si="42"/>
        <v>39</v>
      </c>
      <c r="CU50" s="505"/>
      <c r="CV50" s="368" t="str">
        <f t="shared" si="43"/>
        <v>Braugerste Korn + Stroh3 (11 % RP2)</v>
      </c>
      <c r="CW50" s="505">
        <f t="shared" si="44"/>
        <v>40</v>
      </c>
      <c r="CX50" s="368" t="str">
        <f t="shared" si="45"/>
        <v>Weizenkleie</v>
      </c>
      <c r="CY50" s="505">
        <f t="shared" si="46"/>
        <v>40</v>
      </c>
    </row>
    <row r="51" spans="1:103" ht="18" customHeight="1" x14ac:dyDescent="0.2">
      <c r="A51" s="368"/>
      <c r="B51" s="369"/>
      <c r="C51" s="648">
        <f t="shared" si="31"/>
        <v>40</v>
      </c>
      <c r="D51" s="656"/>
      <c r="E51" s="650"/>
      <c r="F51" s="651"/>
      <c r="G51" s="652"/>
      <c r="H51" s="652"/>
      <c r="I51" s="652"/>
      <c r="J51" s="652"/>
      <c r="K51" s="652"/>
      <c r="L51" s="652"/>
      <c r="M51" s="652"/>
      <c r="N51" s="652"/>
      <c r="O51" s="652"/>
      <c r="P51" s="652"/>
      <c r="Q51" s="653">
        <v>0.16</v>
      </c>
      <c r="R51" s="653">
        <v>0.16</v>
      </c>
      <c r="S51" s="369"/>
      <c r="T51" s="654">
        <f t="shared" si="37"/>
        <v>91</v>
      </c>
      <c r="U51" s="496" t="s">
        <v>375</v>
      </c>
      <c r="V51" s="497"/>
      <c r="W51" s="497"/>
      <c r="X51" s="497"/>
      <c r="Y51" s="497">
        <v>25</v>
      </c>
      <c r="Z51" s="497">
        <v>20</v>
      </c>
      <c r="AA51" s="497">
        <v>0</v>
      </c>
      <c r="AB51" s="512"/>
      <c r="AC51" s="369"/>
      <c r="AD51" s="527">
        <f t="shared" si="33"/>
        <v>40</v>
      </c>
      <c r="AE51" s="528" t="s">
        <v>376</v>
      </c>
      <c r="AF51" s="529"/>
      <c r="AG51" s="539">
        <v>7</v>
      </c>
      <c r="AH51" s="539">
        <v>86</v>
      </c>
      <c r="AI51" s="530">
        <f t="shared" si="32"/>
        <v>5.2460000000000004</v>
      </c>
      <c r="AJ51" s="530">
        <v>6.1</v>
      </c>
      <c r="AK51" s="530">
        <v>4.3</v>
      </c>
      <c r="AL51" s="530">
        <v>4</v>
      </c>
      <c r="AM51" s="541">
        <v>4.5</v>
      </c>
      <c r="AN51" s="541">
        <v>1.7</v>
      </c>
      <c r="AO51" s="369"/>
      <c r="AP51" s="369"/>
      <c r="AQ51" s="369"/>
      <c r="AR51" s="369"/>
      <c r="AS51" s="369"/>
      <c r="AT51" s="369"/>
      <c r="AU51" s="369"/>
      <c r="AV51" s="369"/>
      <c r="AW51" s="587">
        <f t="shared" si="7"/>
        <v>42</v>
      </c>
      <c r="AX51" s="496" t="str">
        <f t="shared" si="48"/>
        <v>Hafer Stroh (11 % RP2)</v>
      </c>
      <c r="AY51" s="496" t="s">
        <v>295</v>
      </c>
      <c r="AZ51" s="499">
        <v>86</v>
      </c>
      <c r="BA51" s="499" t="s">
        <v>189</v>
      </c>
      <c r="BB51" s="579">
        <v>0.5</v>
      </c>
      <c r="BC51" s="524">
        <v>0.3</v>
      </c>
      <c r="BD51" s="525">
        <v>0.13</v>
      </c>
      <c r="BE51" s="588"/>
      <c r="BF51" s="589"/>
      <c r="BG51" s="589"/>
      <c r="BH51" s="590"/>
      <c r="BI51" s="369"/>
      <c r="BJ51" s="593">
        <f t="shared" si="27"/>
        <v>42</v>
      </c>
      <c r="BK51" s="470" t="s">
        <v>377</v>
      </c>
      <c r="BL51" s="594">
        <v>78</v>
      </c>
      <c r="BM51" s="594"/>
      <c r="BN51" s="594"/>
      <c r="BO51" s="594">
        <v>2.16</v>
      </c>
      <c r="BP51" s="594">
        <v>0.11</v>
      </c>
      <c r="BQ51" s="594">
        <v>0.05</v>
      </c>
      <c r="BR51" s="369"/>
      <c r="BS51" s="369"/>
      <c r="BT51" s="369"/>
      <c r="BU51" s="369"/>
      <c r="BV51" s="369"/>
      <c r="BW51" s="369"/>
      <c r="BX51" s="369"/>
      <c r="BY51" s="369"/>
      <c r="BZ51" s="369"/>
      <c r="CB51" s="369"/>
      <c r="CC51" s="369"/>
      <c r="CD51" s="369"/>
      <c r="CE51" s="369"/>
      <c r="CF51" s="369"/>
      <c r="CG51" s="369"/>
      <c r="CH51" s="369"/>
      <c r="CI51" s="369"/>
      <c r="CJ51" s="369"/>
      <c r="CN51" s="368">
        <f t="shared" si="35"/>
        <v>0</v>
      </c>
      <c r="CO51" s="505">
        <f t="shared" si="36"/>
        <v>40</v>
      </c>
      <c r="CP51" s="368" t="str">
        <f t="shared" si="39"/>
        <v>Kaliumsulfat</v>
      </c>
      <c r="CQ51" s="531">
        <f t="shared" si="40"/>
        <v>90</v>
      </c>
      <c r="CR51" s="368" t="str">
        <f t="shared" si="41"/>
        <v>Schweinegülle Mast tr-Futter (RAM)</v>
      </c>
      <c r="CS51" s="532">
        <f t="shared" si="42"/>
        <v>40</v>
      </c>
      <c r="CU51" s="505"/>
      <c r="CV51" s="368" t="str">
        <f t="shared" si="43"/>
        <v>Hafer Korn (11 % RP2)</v>
      </c>
      <c r="CW51" s="505">
        <f t="shared" si="44"/>
        <v>41</v>
      </c>
      <c r="CX51" s="368" t="str">
        <f t="shared" si="45"/>
        <v>Weizennachmehl</v>
      </c>
      <c r="CY51" s="505">
        <f t="shared" si="46"/>
        <v>41</v>
      </c>
    </row>
    <row r="52" spans="1:103" ht="18" customHeight="1" x14ac:dyDescent="0.2">
      <c r="A52" s="368"/>
      <c r="B52" s="369"/>
      <c r="C52" s="648">
        <f t="shared" si="31"/>
        <v>41</v>
      </c>
      <c r="D52" s="656"/>
      <c r="E52" s="650"/>
      <c r="F52" s="651"/>
      <c r="G52" s="652"/>
      <c r="H52" s="652"/>
      <c r="I52" s="652"/>
      <c r="J52" s="652"/>
      <c r="K52" s="652"/>
      <c r="L52" s="652"/>
      <c r="M52" s="652"/>
      <c r="N52" s="652"/>
      <c r="O52" s="652"/>
      <c r="P52" s="652"/>
      <c r="Q52" s="653">
        <v>0.16</v>
      </c>
      <c r="R52" s="653">
        <v>0.16</v>
      </c>
      <c r="S52" s="369"/>
      <c r="T52" s="654">
        <f t="shared" si="37"/>
        <v>92</v>
      </c>
      <c r="U52" s="496" t="s">
        <v>378</v>
      </c>
      <c r="V52" s="497"/>
      <c r="W52" s="497"/>
      <c r="X52" s="497"/>
      <c r="Y52" s="497">
        <v>27</v>
      </c>
      <c r="Z52" s="497">
        <v>22</v>
      </c>
      <c r="AA52" s="497">
        <v>0</v>
      </c>
      <c r="AB52" s="512"/>
      <c r="AC52" s="369"/>
      <c r="AD52" s="527">
        <f t="shared" si="33"/>
        <v>41</v>
      </c>
      <c r="AE52" s="528" t="s">
        <v>379</v>
      </c>
      <c r="AF52" s="529"/>
      <c r="AG52" s="539">
        <v>7</v>
      </c>
      <c r="AH52" s="539">
        <v>86</v>
      </c>
      <c r="AI52" s="530">
        <f t="shared" si="32"/>
        <v>6.02</v>
      </c>
      <c r="AJ52" s="530">
        <v>7</v>
      </c>
      <c r="AK52" s="530">
        <v>4.9000000000000004</v>
      </c>
      <c r="AL52" s="530">
        <v>4.2</v>
      </c>
      <c r="AM52" s="541">
        <v>5</v>
      </c>
      <c r="AN52" s="541">
        <v>1.7</v>
      </c>
      <c r="AO52" s="369"/>
      <c r="AP52" s="369"/>
      <c r="AQ52" s="369"/>
      <c r="AR52" s="369"/>
      <c r="AS52" s="369"/>
      <c r="AT52" s="369"/>
      <c r="AU52" s="369"/>
      <c r="AV52" s="369"/>
      <c r="AW52" s="580"/>
      <c r="AX52" s="657" t="str">
        <f t="shared" si="48"/>
        <v>Hafer Korn + Stroh3 (11 % RP2)</v>
      </c>
      <c r="AY52" s="658" t="s">
        <v>300</v>
      </c>
      <c r="AZ52" s="659" t="s">
        <v>189</v>
      </c>
      <c r="BA52" s="660" t="s">
        <v>380</v>
      </c>
      <c r="BB52" s="661">
        <v>2.06</v>
      </c>
      <c r="BC52" s="662">
        <v>1.1299999999999999</v>
      </c>
      <c r="BD52" s="663">
        <v>0.49</v>
      </c>
      <c r="BE52" s="664" t="s">
        <v>142</v>
      </c>
      <c r="BF52" s="665" t="s">
        <v>143</v>
      </c>
      <c r="BG52" s="665" t="s">
        <v>38</v>
      </c>
      <c r="BH52" s="666" t="s">
        <v>154</v>
      </c>
      <c r="BI52" s="369"/>
      <c r="BJ52" s="593">
        <f t="shared" si="27"/>
        <v>43</v>
      </c>
      <c r="BK52" s="470" t="s">
        <v>381</v>
      </c>
      <c r="BL52" s="594"/>
      <c r="BM52" s="594"/>
      <c r="BN52" s="594"/>
      <c r="BO52" s="594"/>
      <c r="BP52" s="594"/>
      <c r="BQ52" s="594"/>
      <c r="BR52" s="369"/>
      <c r="BS52" s="369"/>
      <c r="BT52" s="369"/>
      <c r="BU52" s="369"/>
      <c r="BV52" s="369"/>
      <c r="BW52" s="369"/>
      <c r="BX52" s="369"/>
      <c r="BY52" s="369"/>
      <c r="BZ52" s="369"/>
      <c r="CB52" s="369"/>
      <c r="CC52" s="369"/>
      <c r="CD52" s="369"/>
      <c r="CE52" s="369"/>
      <c r="CF52" s="369"/>
      <c r="CG52" s="369"/>
      <c r="CH52" s="369"/>
      <c r="CI52" s="369"/>
      <c r="CJ52" s="369"/>
      <c r="CN52" s="368">
        <f t="shared" si="35"/>
        <v>0</v>
      </c>
      <c r="CO52" s="505">
        <f t="shared" si="36"/>
        <v>41</v>
      </c>
      <c r="CP52" s="368" t="str">
        <f t="shared" si="39"/>
        <v>Kieserit granuliert</v>
      </c>
      <c r="CQ52" s="531">
        <f t="shared" si="40"/>
        <v>91</v>
      </c>
      <c r="CR52" s="368" t="str">
        <f t="shared" si="41"/>
        <v>Schweinegülle Mast tr-Futter 2-phasig</v>
      </c>
      <c r="CS52" s="532">
        <f t="shared" si="42"/>
        <v>41</v>
      </c>
      <c r="CU52" s="505"/>
      <c r="CV52" s="368" t="str">
        <f t="shared" si="43"/>
        <v>Hafer Stroh (11 % RP2)</v>
      </c>
      <c r="CW52" s="505">
        <f t="shared" si="44"/>
        <v>42</v>
      </c>
      <c r="CX52" s="368" t="str">
        <f t="shared" si="45"/>
        <v>Zuckerrübenmelasse</v>
      </c>
      <c r="CY52" s="505">
        <f t="shared" si="46"/>
        <v>42</v>
      </c>
    </row>
    <row r="53" spans="1:103" ht="18" customHeight="1" x14ac:dyDescent="0.2">
      <c r="A53" s="368"/>
      <c r="B53" s="369"/>
      <c r="C53" s="648">
        <f t="shared" si="31"/>
        <v>42</v>
      </c>
      <c r="D53" s="649"/>
      <c r="E53" s="650"/>
      <c r="F53" s="651"/>
      <c r="G53" s="652"/>
      <c r="H53" s="652"/>
      <c r="I53" s="652"/>
      <c r="J53" s="652"/>
      <c r="K53" s="652"/>
      <c r="L53" s="652"/>
      <c r="M53" s="652"/>
      <c r="N53" s="652"/>
      <c r="O53" s="652"/>
      <c r="P53" s="652"/>
      <c r="Q53" s="653">
        <v>0.16</v>
      </c>
      <c r="R53" s="653">
        <v>0.33</v>
      </c>
      <c r="S53" s="369"/>
      <c r="T53" s="654">
        <f t="shared" si="37"/>
        <v>93</v>
      </c>
      <c r="U53" s="554" t="s">
        <v>382</v>
      </c>
      <c r="V53" s="556"/>
      <c r="W53" s="556"/>
      <c r="X53" s="556"/>
      <c r="Y53" s="556">
        <v>16</v>
      </c>
      <c r="Z53" s="556">
        <v>13</v>
      </c>
      <c r="AA53" s="556">
        <v>0</v>
      </c>
      <c r="AB53" s="607"/>
      <c r="AC53" s="369"/>
      <c r="AD53" s="527">
        <f t="shared" si="33"/>
        <v>42</v>
      </c>
      <c r="AE53" s="528" t="s">
        <v>383</v>
      </c>
      <c r="AF53" s="529"/>
      <c r="AG53" s="539">
        <v>2</v>
      </c>
      <c r="AH53" s="539">
        <v>86</v>
      </c>
      <c r="AI53" s="530">
        <f t="shared" si="32"/>
        <v>2.58</v>
      </c>
      <c r="AJ53" s="530">
        <v>3</v>
      </c>
      <c r="AK53" s="530">
        <v>2.7</v>
      </c>
      <c r="AL53" s="530">
        <v>0.2</v>
      </c>
      <c r="AM53" s="541">
        <v>10</v>
      </c>
      <c r="AN53" s="541">
        <v>0.15</v>
      </c>
      <c r="AO53" s="369"/>
      <c r="AP53" s="369"/>
      <c r="AQ53" s="369"/>
      <c r="AR53" s="369"/>
      <c r="AS53" s="369"/>
      <c r="AT53" s="369"/>
      <c r="AU53" s="369"/>
      <c r="AV53" s="369"/>
      <c r="AW53" s="495">
        <f>AW51+1</f>
        <v>43</v>
      </c>
      <c r="AX53" s="474" t="str">
        <f t="shared" si="48"/>
        <v>Hafer Korn (12 % RP2)</v>
      </c>
      <c r="AY53" s="667" t="s">
        <v>188</v>
      </c>
      <c r="AZ53" s="668">
        <v>86</v>
      </c>
      <c r="BA53" s="669" t="s">
        <v>189</v>
      </c>
      <c r="BB53" s="670">
        <v>1.65</v>
      </c>
      <c r="BC53" s="671">
        <v>0.8</v>
      </c>
      <c r="BD53" s="672">
        <v>0.35</v>
      </c>
      <c r="BE53" s="673">
        <v>2.6</v>
      </c>
      <c r="BF53" s="674">
        <v>0.82</v>
      </c>
      <c r="BG53" s="675">
        <v>2.5499999999999998</v>
      </c>
      <c r="BH53" s="675"/>
      <c r="BI53" s="369"/>
      <c r="BJ53" s="593">
        <f t="shared" si="27"/>
        <v>44</v>
      </c>
      <c r="BK53" s="470"/>
      <c r="BL53" s="594"/>
      <c r="BM53" s="594"/>
      <c r="BN53" s="594"/>
      <c r="BO53" s="594"/>
      <c r="BP53" s="594"/>
      <c r="BQ53" s="594"/>
      <c r="BR53" s="369"/>
      <c r="BS53" s="369"/>
      <c r="BT53" s="369"/>
      <c r="BU53" s="369"/>
      <c r="BV53" s="369"/>
      <c r="BW53" s="369"/>
      <c r="BX53" s="369"/>
      <c r="BY53" s="369"/>
      <c r="BZ53" s="369"/>
      <c r="CB53" s="369"/>
      <c r="CC53" s="369"/>
      <c r="CD53" s="369"/>
      <c r="CE53" s="369"/>
      <c r="CF53" s="369"/>
      <c r="CG53" s="369"/>
      <c r="CH53" s="369"/>
      <c r="CI53" s="369"/>
      <c r="CJ53" s="369"/>
      <c r="CN53" s="368">
        <f t="shared" si="35"/>
        <v>0</v>
      </c>
      <c r="CO53" s="505">
        <f t="shared" si="36"/>
        <v>42</v>
      </c>
      <c r="CP53" s="368" t="str">
        <f t="shared" si="39"/>
        <v>Kieserit fein</v>
      </c>
      <c r="CQ53" s="531">
        <f t="shared" si="40"/>
        <v>92</v>
      </c>
      <c r="CR53" s="368" t="str">
        <f t="shared" si="41"/>
        <v>Rinderjauche (Milchvieh)</v>
      </c>
      <c r="CS53" s="532">
        <f t="shared" si="42"/>
        <v>42</v>
      </c>
      <c r="CU53" s="505"/>
      <c r="CV53" s="368" t="str">
        <f t="shared" si="43"/>
        <v>Hafer Korn + Stroh3 (11 % RP2)</v>
      </c>
      <c r="CW53" s="505">
        <f t="shared" si="44"/>
        <v>0</v>
      </c>
      <c r="CX53" s="368" t="str">
        <f t="shared" si="45"/>
        <v>Eigene Futtermittel:</v>
      </c>
      <c r="CY53" s="505">
        <f t="shared" si="46"/>
        <v>43</v>
      </c>
    </row>
    <row r="54" spans="1:103" ht="18" customHeight="1" x14ac:dyDescent="0.2">
      <c r="A54" s="368"/>
      <c r="B54" s="369"/>
      <c r="C54" s="648">
        <f t="shared" si="31"/>
        <v>43</v>
      </c>
      <c r="D54" s="649"/>
      <c r="E54" s="676"/>
      <c r="F54" s="651"/>
      <c r="G54" s="652"/>
      <c r="H54" s="652">
        <f>G54-(G54*$G$35/100)</f>
        <v>0</v>
      </c>
      <c r="I54" s="652"/>
      <c r="J54" s="652">
        <f>I54-(I54*$I$35/100)</f>
        <v>0</v>
      </c>
      <c r="K54" s="652"/>
      <c r="L54" s="652"/>
      <c r="M54" s="652"/>
      <c r="N54" s="652"/>
      <c r="O54" s="652"/>
      <c r="P54" s="652"/>
      <c r="Q54" s="653"/>
      <c r="R54" s="653"/>
      <c r="S54" s="369"/>
      <c r="T54" s="654">
        <f t="shared" si="37"/>
        <v>94</v>
      </c>
      <c r="U54" s="602" t="s">
        <v>384</v>
      </c>
      <c r="V54" s="603"/>
      <c r="W54" s="603">
        <v>9</v>
      </c>
      <c r="X54" s="603">
        <v>25</v>
      </c>
      <c r="Y54" s="603"/>
      <c r="Z54" s="603">
        <v>6</v>
      </c>
      <c r="AA54" s="603">
        <v>0</v>
      </c>
      <c r="AB54" s="604"/>
      <c r="AC54" s="369"/>
      <c r="AD54" s="527">
        <f t="shared" si="33"/>
        <v>43</v>
      </c>
      <c r="AE54" s="528" t="s">
        <v>385</v>
      </c>
      <c r="AF54" s="529"/>
      <c r="AG54" s="539">
        <v>2</v>
      </c>
      <c r="AH54" s="539">
        <v>85</v>
      </c>
      <c r="AI54" s="530">
        <f t="shared" si="32"/>
        <v>4.25</v>
      </c>
      <c r="AJ54" s="530">
        <v>5</v>
      </c>
      <c r="AK54" s="530">
        <v>4.5</v>
      </c>
      <c r="AL54" s="530">
        <v>0.9</v>
      </c>
      <c r="AM54" s="541">
        <v>4</v>
      </c>
      <c r="AN54" s="541">
        <v>0.2</v>
      </c>
      <c r="AO54" s="369"/>
      <c r="AP54" s="369"/>
      <c r="AQ54" s="369"/>
      <c r="AR54" s="369"/>
      <c r="AS54" s="369"/>
      <c r="AT54" s="369"/>
      <c r="AU54" s="369"/>
      <c r="AV54" s="369"/>
      <c r="AW54" s="495">
        <f t="shared" ref="AW54:AW59" si="49">AW53+1</f>
        <v>44</v>
      </c>
      <c r="AX54" s="564" t="str">
        <f t="shared" si="48"/>
        <v>Hafer Stroh (12 % RP2)</v>
      </c>
      <c r="AY54" s="677" t="s">
        <v>197</v>
      </c>
      <c r="AZ54" s="678">
        <v>86</v>
      </c>
      <c r="BA54" s="679" t="s">
        <v>189</v>
      </c>
      <c r="BB54" s="680">
        <v>0.5</v>
      </c>
      <c r="BC54" s="681">
        <v>0.3</v>
      </c>
      <c r="BD54" s="682">
        <v>0.13</v>
      </c>
      <c r="BE54" s="683">
        <v>2.7</v>
      </c>
      <c r="BF54" s="684">
        <v>0.63</v>
      </c>
      <c r="BG54" s="685">
        <v>1.74</v>
      </c>
      <c r="BH54" s="685"/>
      <c r="BI54" s="369"/>
      <c r="BJ54" s="593">
        <f t="shared" si="27"/>
        <v>45</v>
      </c>
      <c r="BK54" s="470"/>
      <c r="BL54" s="594"/>
      <c r="BM54" s="594"/>
      <c r="BN54" s="594"/>
      <c r="BO54" s="594"/>
      <c r="BP54" s="594"/>
      <c r="BQ54" s="594"/>
      <c r="BR54" s="369"/>
      <c r="BS54" s="369"/>
      <c r="BT54" s="369"/>
      <c r="BU54" s="369"/>
      <c r="BV54" s="369"/>
      <c r="BW54" s="369"/>
      <c r="BX54" s="369"/>
      <c r="BY54" s="369"/>
      <c r="BZ54" s="369"/>
      <c r="CB54" s="369"/>
      <c r="CC54" s="369"/>
      <c r="CD54" s="369"/>
      <c r="CE54" s="369"/>
      <c r="CF54" s="369"/>
      <c r="CG54" s="369"/>
      <c r="CH54" s="369"/>
      <c r="CI54" s="369"/>
      <c r="CJ54" s="369"/>
      <c r="CN54" s="368">
        <f t="shared" si="35"/>
        <v>0</v>
      </c>
      <c r="CO54" s="505">
        <f t="shared" si="36"/>
        <v>43</v>
      </c>
      <c r="CP54" s="368" t="str">
        <f t="shared" si="39"/>
        <v>Bittersalz</v>
      </c>
      <c r="CQ54" s="531">
        <f t="shared" si="40"/>
        <v>93</v>
      </c>
      <c r="CR54" s="368" t="str">
        <f t="shared" si="41"/>
        <v>Schweinejauche (Mastschweine)</v>
      </c>
      <c r="CS54" s="532">
        <f t="shared" si="42"/>
        <v>43</v>
      </c>
      <c r="CU54" s="505"/>
      <c r="CV54" s="368" t="str">
        <f t="shared" si="43"/>
        <v>Hafer Korn (12 % RP2)</v>
      </c>
      <c r="CW54" s="505">
        <f t="shared" si="44"/>
        <v>43</v>
      </c>
      <c r="CX54" s="368">
        <f t="shared" si="45"/>
        <v>0</v>
      </c>
      <c r="CY54" s="505">
        <f t="shared" si="46"/>
        <v>44</v>
      </c>
    </row>
    <row r="55" spans="1:103" ht="18" customHeight="1" x14ac:dyDescent="0.2">
      <c r="A55" s="368"/>
      <c r="B55" s="369"/>
      <c r="C55" s="648">
        <f t="shared" si="31"/>
        <v>44</v>
      </c>
      <c r="D55" s="649"/>
      <c r="E55" s="676"/>
      <c r="F55" s="651"/>
      <c r="G55" s="652"/>
      <c r="H55" s="652">
        <f>G55-(G55*$G$35/100)</f>
        <v>0</v>
      </c>
      <c r="I55" s="652"/>
      <c r="J55" s="652">
        <f>I55-(I55*$I$35/100)</f>
        <v>0</v>
      </c>
      <c r="K55" s="652"/>
      <c r="L55" s="652"/>
      <c r="M55" s="652"/>
      <c r="N55" s="652"/>
      <c r="O55" s="652"/>
      <c r="P55" s="652"/>
      <c r="Q55" s="653"/>
      <c r="R55" s="653"/>
      <c r="S55" s="369"/>
      <c r="T55" s="654">
        <f t="shared" si="37"/>
        <v>95</v>
      </c>
      <c r="U55" s="496" t="s">
        <v>386</v>
      </c>
      <c r="V55" s="497"/>
      <c r="W55" s="497">
        <v>14</v>
      </c>
      <c r="X55" s="497">
        <v>24</v>
      </c>
      <c r="Y55" s="497"/>
      <c r="Z55" s="497">
        <v>6</v>
      </c>
      <c r="AA55" s="497">
        <v>0</v>
      </c>
      <c r="AB55" s="512"/>
      <c r="AC55" s="369"/>
      <c r="AD55" s="527">
        <f t="shared" si="33"/>
        <v>44</v>
      </c>
      <c r="AE55" s="1022" t="s">
        <v>387</v>
      </c>
      <c r="AF55" s="1022"/>
      <c r="AG55" s="605">
        <v>6</v>
      </c>
      <c r="AH55" s="539">
        <v>86</v>
      </c>
      <c r="AI55" s="530">
        <f t="shared" si="32"/>
        <v>5.16</v>
      </c>
      <c r="AJ55" s="530">
        <v>6</v>
      </c>
      <c r="AK55" s="530">
        <v>4.2</v>
      </c>
      <c r="AL55" s="530">
        <v>3.4</v>
      </c>
      <c r="AM55" s="541">
        <v>3.9</v>
      </c>
      <c r="AN55" s="541">
        <v>1.1499999999999999</v>
      </c>
      <c r="AO55" s="369"/>
      <c r="AP55" s="369"/>
      <c r="AQ55" s="369"/>
      <c r="AR55" s="369"/>
      <c r="AS55" s="369"/>
      <c r="AT55" s="369"/>
      <c r="AU55" s="369"/>
      <c r="AV55" s="369"/>
      <c r="AW55" s="495">
        <f t="shared" si="49"/>
        <v>45</v>
      </c>
      <c r="AX55" s="686" t="str">
        <f t="shared" si="48"/>
        <v>Hafer Korn + Stroh3 (12 % RP2)</v>
      </c>
      <c r="AY55" s="687" t="s">
        <v>265</v>
      </c>
      <c r="AZ55" s="688" t="s">
        <v>189</v>
      </c>
      <c r="BA55" s="689" t="s">
        <v>388</v>
      </c>
      <c r="BB55" s="690">
        <v>2.2000000000000002</v>
      </c>
      <c r="BC55" s="691">
        <v>1.1299999999999999</v>
      </c>
      <c r="BD55" s="692">
        <v>0.49</v>
      </c>
      <c r="BE55" s="683">
        <v>2.4</v>
      </c>
      <c r="BF55" s="684">
        <v>0.4</v>
      </c>
      <c r="BG55" s="685">
        <v>1</v>
      </c>
      <c r="BH55" s="685"/>
      <c r="BI55" s="369"/>
      <c r="BJ55" s="593">
        <f t="shared" si="27"/>
        <v>46</v>
      </c>
      <c r="BK55" s="470"/>
      <c r="BL55" s="594"/>
      <c r="BM55" s="594"/>
      <c r="BN55" s="594"/>
      <c r="BO55" s="594"/>
      <c r="BP55" s="594"/>
      <c r="BQ55" s="594"/>
      <c r="BR55" s="369"/>
      <c r="BS55" s="369"/>
      <c r="BT55" s="369"/>
      <c r="BU55" s="369"/>
      <c r="BV55" s="369"/>
      <c r="BW55" s="369"/>
      <c r="BX55" s="369"/>
      <c r="BY55" s="369"/>
      <c r="BZ55" s="369"/>
      <c r="CB55" s="369"/>
      <c r="CC55" s="369"/>
      <c r="CD55" s="369"/>
      <c r="CE55" s="369"/>
      <c r="CF55" s="369"/>
      <c r="CG55" s="369"/>
      <c r="CH55" s="369"/>
      <c r="CI55" s="369"/>
      <c r="CJ55" s="369"/>
      <c r="CN55" s="368">
        <f t="shared" si="35"/>
        <v>0</v>
      </c>
      <c r="CO55" s="505">
        <f t="shared" si="36"/>
        <v>44</v>
      </c>
      <c r="CP55" s="368" t="str">
        <f t="shared" si="39"/>
        <v>Rhe-Ka-Phos 9+25</v>
      </c>
      <c r="CQ55" s="531">
        <f t="shared" si="40"/>
        <v>94</v>
      </c>
      <c r="CR55" s="368" t="str">
        <f t="shared" si="41"/>
        <v>Schweinegülle Durchschnitt</v>
      </c>
      <c r="CS55" s="532">
        <f t="shared" si="42"/>
        <v>44</v>
      </c>
      <c r="CU55" s="505"/>
      <c r="CV55" s="368" t="str">
        <f t="shared" si="43"/>
        <v>Hafer Stroh (12 % RP2)</v>
      </c>
      <c r="CW55" s="505">
        <f t="shared" si="44"/>
        <v>44</v>
      </c>
      <c r="CX55" s="368">
        <f t="shared" si="45"/>
        <v>0</v>
      </c>
      <c r="CY55" s="505">
        <f t="shared" si="46"/>
        <v>45</v>
      </c>
    </row>
    <row r="56" spans="1:103" ht="18" customHeight="1" x14ac:dyDescent="0.2">
      <c r="A56" s="368"/>
      <c r="B56" s="369"/>
      <c r="C56" s="648">
        <f t="shared" si="31"/>
        <v>45</v>
      </c>
      <c r="D56" s="649"/>
      <c r="E56" s="676"/>
      <c r="F56" s="651"/>
      <c r="G56" s="652"/>
      <c r="H56" s="652">
        <f>G56-(G56*$G$35/100)</f>
        <v>0</v>
      </c>
      <c r="I56" s="652"/>
      <c r="J56" s="652">
        <f>I56-(I56*$I$35/100)</f>
        <v>0</v>
      </c>
      <c r="K56" s="652"/>
      <c r="L56" s="652"/>
      <c r="M56" s="652"/>
      <c r="N56" s="693"/>
      <c r="O56" s="693"/>
      <c r="P56" s="693"/>
      <c r="Q56" s="653"/>
      <c r="R56" s="653"/>
      <c r="S56" s="369"/>
      <c r="T56" s="654">
        <f t="shared" si="37"/>
        <v>96</v>
      </c>
      <c r="U56" s="496" t="s">
        <v>389</v>
      </c>
      <c r="V56" s="497"/>
      <c r="W56" s="497">
        <v>20</v>
      </c>
      <c r="X56" s="497">
        <v>30</v>
      </c>
      <c r="Y56" s="497"/>
      <c r="Z56" s="497">
        <v>2</v>
      </c>
      <c r="AA56" s="497">
        <v>0</v>
      </c>
      <c r="AB56" s="512"/>
      <c r="AC56" s="369"/>
      <c r="AD56" s="527">
        <f t="shared" si="33"/>
        <v>45</v>
      </c>
      <c r="AE56" s="1022" t="s">
        <v>83</v>
      </c>
      <c r="AF56" s="1022"/>
      <c r="AG56" s="605">
        <v>6</v>
      </c>
      <c r="AH56" s="539">
        <v>86</v>
      </c>
      <c r="AI56" s="530">
        <f t="shared" si="32"/>
        <v>4.2140000000000004</v>
      </c>
      <c r="AJ56" s="530">
        <v>4.9000000000000004</v>
      </c>
      <c r="AK56" s="530">
        <v>3.4</v>
      </c>
      <c r="AL56" s="530">
        <v>3.2</v>
      </c>
      <c r="AM56" s="541">
        <v>3.6</v>
      </c>
      <c r="AN56" s="541">
        <v>1.2</v>
      </c>
      <c r="AO56" s="369"/>
      <c r="AP56" s="369"/>
      <c r="AQ56" s="369"/>
      <c r="AR56" s="369"/>
      <c r="AS56" s="369"/>
      <c r="AT56" s="369"/>
      <c r="AU56" s="369"/>
      <c r="AV56" s="369"/>
      <c r="AW56" s="495">
        <f t="shared" si="49"/>
        <v>46</v>
      </c>
      <c r="AX56" s="694" t="s">
        <v>390</v>
      </c>
      <c r="AY56" s="694"/>
      <c r="AZ56" s="695">
        <v>35</v>
      </c>
      <c r="BA56" s="696" t="s">
        <v>189</v>
      </c>
      <c r="BB56" s="697">
        <v>0.56000000000000005</v>
      </c>
      <c r="BC56" s="698">
        <v>0.23</v>
      </c>
      <c r="BD56" s="699">
        <v>0.1</v>
      </c>
      <c r="BE56" s="700">
        <v>2.4</v>
      </c>
      <c r="BF56" s="701">
        <v>0.63</v>
      </c>
      <c r="BG56" s="701">
        <v>3.25</v>
      </c>
      <c r="BH56" s="702"/>
      <c r="BI56" s="369"/>
      <c r="BJ56" s="593">
        <f t="shared" si="27"/>
        <v>47</v>
      </c>
      <c r="BK56" s="470"/>
      <c r="BL56" s="594"/>
      <c r="BM56" s="594"/>
      <c r="BN56" s="594"/>
      <c r="BO56" s="594"/>
      <c r="BP56" s="594"/>
      <c r="BQ56" s="594"/>
      <c r="BR56" s="369"/>
      <c r="BS56" s="369"/>
      <c r="BT56" s="369"/>
      <c r="BU56" s="369"/>
      <c r="BV56" s="369"/>
      <c r="BW56" s="369"/>
      <c r="BX56" s="369"/>
      <c r="BY56" s="369"/>
      <c r="BZ56" s="369"/>
      <c r="CB56" s="369"/>
      <c r="CC56" s="369"/>
      <c r="CD56" s="369"/>
      <c r="CE56" s="369"/>
      <c r="CF56" s="369"/>
      <c r="CG56" s="369"/>
      <c r="CH56" s="369"/>
      <c r="CI56" s="369"/>
      <c r="CJ56" s="369"/>
      <c r="CN56" s="368">
        <f t="shared" si="35"/>
        <v>0</v>
      </c>
      <c r="CO56" s="505">
        <f t="shared" si="36"/>
        <v>45</v>
      </c>
      <c r="CP56" s="368" t="str">
        <f t="shared" si="39"/>
        <v>Rhe-Ka-Phos 14+24</v>
      </c>
      <c r="CQ56" s="531">
        <f t="shared" si="40"/>
        <v>95</v>
      </c>
      <c r="CR56" s="368" t="str">
        <f t="shared" si="41"/>
        <v>Schweinegülle Durchschnitt (RAM)</v>
      </c>
      <c r="CS56" s="532">
        <f t="shared" si="42"/>
        <v>45</v>
      </c>
      <c r="CU56" s="505"/>
      <c r="CV56" s="368" t="str">
        <f t="shared" si="43"/>
        <v>Hafer Korn + Stroh3 (12 % RP2)</v>
      </c>
      <c r="CW56" s="505">
        <f t="shared" si="44"/>
        <v>45</v>
      </c>
      <c r="CX56" s="368">
        <f t="shared" si="45"/>
        <v>0</v>
      </c>
      <c r="CY56" s="505">
        <f t="shared" si="46"/>
        <v>46</v>
      </c>
    </row>
    <row r="57" spans="1:103" ht="18" customHeight="1" x14ac:dyDescent="0.2">
      <c r="A57" s="368"/>
      <c r="B57" s="369"/>
      <c r="C57" s="617"/>
      <c r="D57" s="703"/>
      <c r="E57" s="704"/>
      <c r="F57" s="705"/>
      <c r="G57" s="706"/>
      <c r="H57" s="706"/>
      <c r="I57" s="706"/>
      <c r="J57" s="706"/>
      <c r="K57" s="1023"/>
      <c r="L57" s="1023"/>
      <c r="M57" s="1023"/>
      <c r="N57" s="1023"/>
      <c r="O57" s="1023"/>
      <c r="P57" s="707"/>
      <c r="Q57" s="1024" t="s">
        <v>391</v>
      </c>
      <c r="R57" s="1024"/>
      <c r="S57" s="369"/>
      <c r="T57" s="654">
        <f t="shared" si="37"/>
        <v>97</v>
      </c>
      <c r="U57" s="496" t="s">
        <v>392</v>
      </c>
      <c r="V57" s="497"/>
      <c r="W57" s="497">
        <v>10</v>
      </c>
      <c r="X57" s="497">
        <v>21</v>
      </c>
      <c r="Y57" s="497">
        <v>4</v>
      </c>
      <c r="Z57" s="497">
        <v>6</v>
      </c>
      <c r="AA57" s="497">
        <v>0</v>
      </c>
      <c r="AB57" s="512"/>
      <c r="AC57" s="369"/>
      <c r="AD57" s="527">
        <f t="shared" si="33"/>
        <v>46</v>
      </c>
      <c r="AE57" s="1022" t="s">
        <v>393</v>
      </c>
      <c r="AF57" s="1022"/>
      <c r="AG57" s="605">
        <v>6</v>
      </c>
      <c r="AH57" s="539">
        <v>86</v>
      </c>
      <c r="AI57" s="530">
        <f t="shared" si="32"/>
        <v>4.8159999999999998</v>
      </c>
      <c r="AJ57" s="530">
        <v>5.6</v>
      </c>
      <c r="AK57" s="530">
        <v>3.9</v>
      </c>
      <c r="AL57" s="530">
        <v>3.4</v>
      </c>
      <c r="AM57" s="541">
        <v>3.9</v>
      </c>
      <c r="AN57" s="541">
        <v>1.2</v>
      </c>
      <c r="AO57" s="369"/>
      <c r="AP57" s="369"/>
      <c r="AQ57" s="369"/>
      <c r="AR57" s="369"/>
      <c r="AS57" s="369"/>
      <c r="AT57" s="369"/>
      <c r="AU57" s="369"/>
      <c r="AV57" s="369"/>
      <c r="AW57" s="495">
        <f t="shared" si="49"/>
        <v>47</v>
      </c>
      <c r="AX57" s="564" t="str">
        <f t="shared" ref="AX57:AX62" si="50">CONCATENATE("Körnermais ",AY57)</f>
        <v>Körnermais Korn (10 % RP2)</v>
      </c>
      <c r="AY57" s="564" t="s">
        <v>354</v>
      </c>
      <c r="AZ57" s="596">
        <v>86</v>
      </c>
      <c r="BA57" s="708" t="s">
        <v>189</v>
      </c>
      <c r="BB57" s="597">
        <v>1.38</v>
      </c>
      <c r="BC57" s="568">
        <v>0.8</v>
      </c>
      <c r="BD57" s="569">
        <v>0.35</v>
      </c>
      <c r="BE57" s="700"/>
      <c r="BF57" s="701"/>
      <c r="BG57" s="701"/>
      <c r="BH57" s="702"/>
      <c r="BI57" s="369"/>
      <c r="BJ57" s="593">
        <f t="shared" si="27"/>
        <v>48</v>
      </c>
      <c r="BK57" s="470"/>
      <c r="BL57" s="594"/>
      <c r="BM57" s="594"/>
      <c r="BN57" s="594"/>
      <c r="BO57" s="594"/>
      <c r="BP57" s="594"/>
      <c r="BQ57" s="594"/>
      <c r="BR57" s="369"/>
      <c r="BS57" s="369"/>
      <c r="BT57" s="369"/>
      <c r="BU57" s="369"/>
      <c r="BV57" s="369"/>
      <c r="BW57" s="369"/>
      <c r="BX57" s="369"/>
      <c r="BY57" s="369"/>
      <c r="BZ57" s="369"/>
      <c r="CB57" s="369"/>
      <c r="CC57" s="369"/>
      <c r="CD57" s="369"/>
      <c r="CE57" s="369"/>
      <c r="CF57" s="369"/>
      <c r="CG57" s="369"/>
      <c r="CH57" s="369"/>
      <c r="CI57" s="369"/>
      <c r="CJ57" s="369"/>
      <c r="CN57" s="368">
        <f t="shared" si="35"/>
        <v>0</v>
      </c>
      <c r="CO57" s="505">
        <f t="shared" si="36"/>
        <v>0</v>
      </c>
      <c r="CP57" s="368" t="str">
        <f t="shared" si="39"/>
        <v>Rhe-Ka-Phos 20+30</v>
      </c>
      <c r="CQ57" s="531">
        <f t="shared" si="40"/>
        <v>96</v>
      </c>
      <c r="CR57" s="368" t="str">
        <f t="shared" si="41"/>
        <v>Schweinegülle Durchschnitt 2-phasig</v>
      </c>
      <c r="CS57" s="532">
        <f t="shared" si="42"/>
        <v>46</v>
      </c>
      <c r="CU57" s="505"/>
      <c r="CV57" s="368" t="str">
        <f t="shared" si="43"/>
        <v>Getreide 1 Ganzpflanze</v>
      </c>
      <c r="CW57" s="505">
        <f t="shared" si="44"/>
        <v>46</v>
      </c>
      <c r="CX57" s="368">
        <f t="shared" si="45"/>
        <v>0</v>
      </c>
      <c r="CY57" s="505">
        <f t="shared" si="46"/>
        <v>47</v>
      </c>
    </row>
    <row r="58" spans="1:103" ht="18" customHeight="1" x14ac:dyDescent="0.2">
      <c r="A58" s="368"/>
      <c r="B58" s="369"/>
      <c r="C58" s="648">
        <f>C56+1</f>
        <v>46</v>
      </c>
      <c r="D58" s="649"/>
      <c r="E58" s="650"/>
      <c r="F58" s="709"/>
      <c r="G58" s="710"/>
      <c r="H58" s="710"/>
      <c r="I58" s="710"/>
      <c r="J58" s="652"/>
      <c r="K58" s="710"/>
      <c r="L58" s="710"/>
      <c r="M58" s="710"/>
      <c r="N58" s="711"/>
      <c r="O58" s="711"/>
      <c r="P58" s="711"/>
      <c r="Q58" s="711">
        <v>4.0000000000000001E-3</v>
      </c>
      <c r="R58" s="710">
        <v>0.17</v>
      </c>
      <c r="S58" s="369"/>
      <c r="T58" s="654">
        <f t="shared" si="37"/>
        <v>98</v>
      </c>
      <c r="U58" s="496" t="s">
        <v>394</v>
      </c>
      <c r="V58" s="497"/>
      <c r="W58" s="497">
        <v>15</v>
      </c>
      <c r="X58" s="497">
        <v>15</v>
      </c>
      <c r="Y58" s="497">
        <v>4</v>
      </c>
      <c r="Z58" s="497">
        <v>6</v>
      </c>
      <c r="AA58" s="497">
        <v>0</v>
      </c>
      <c r="AB58" s="512"/>
      <c r="AC58" s="369"/>
      <c r="AD58" s="527">
        <f t="shared" si="33"/>
        <v>47</v>
      </c>
      <c r="AE58" s="1022" t="s">
        <v>395</v>
      </c>
      <c r="AF58" s="1022"/>
      <c r="AG58" s="605">
        <v>5.14</v>
      </c>
      <c r="AH58" s="539">
        <v>86</v>
      </c>
      <c r="AI58" s="530">
        <f t="shared" si="32"/>
        <v>4.3</v>
      </c>
      <c r="AJ58" s="530">
        <v>5</v>
      </c>
      <c r="AK58" s="530">
        <v>5</v>
      </c>
      <c r="AL58" s="530">
        <v>2.4</v>
      </c>
      <c r="AM58" s="541">
        <v>4.2</v>
      </c>
      <c r="AN58" s="541"/>
      <c r="AO58" s="369"/>
      <c r="AP58" s="369"/>
      <c r="AQ58" s="369"/>
      <c r="AR58" s="369"/>
      <c r="AS58" s="369"/>
      <c r="AT58" s="369"/>
      <c r="AU58" s="369"/>
      <c r="AV58" s="369"/>
      <c r="AW58" s="587">
        <f t="shared" si="49"/>
        <v>48</v>
      </c>
      <c r="AX58" s="549" t="str">
        <f t="shared" si="50"/>
        <v>Körnermais Stroh (10 % RP2)</v>
      </c>
      <c r="AY58" s="549" t="s">
        <v>358</v>
      </c>
      <c r="AZ58" s="712">
        <v>86</v>
      </c>
      <c r="BA58" s="713" t="s">
        <v>189</v>
      </c>
      <c r="BB58" s="714">
        <v>0.9</v>
      </c>
      <c r="BC58" s="715">
        <v>0.2</v>
      </c>
      <c r="BD58" s="716">
        <v>0.09</v>
      </c>
      <c r="BE58" s="717"/>
      <c r="BF58" s="718"/>
      <c r="BG58" s="718"/>
      <c r="BH58" s="719"/>
      <c r="BI58" s="369"/>
      <c r="BJ58" s="593">
        <f t="shared" si="27"/>
        <v>49</v>
      </c>
      <c r="BK58" s="470"/>
      <c r="BL58" s="594"/>
      <c r="BM58" s="594"/>
      <c r="BN58" s="594"/>
      <c r="BO58" s="594"/>
      <c r="BP58" s="594"/>
      <c r="BQ58" s="594"/>
      <c r="BR58" s="369"/>
      <c r="BS58" s="369"/>
      <c r="BT58" s="369"/>
      <c r="BU58" s="369"/>
      <c r="BV58" s="369"/>
      <c r="BW58" s="369"/>
      <c r="BX58" s="369"/>
      <c r="BY58" s="369"/>
      <c r="BZ58" s="369"/>
      <c r="CB58" s="369"/>
      <c r="CC58" s="369"/>
      <c r="CD58" s="369"/>
      <c r="CE58" s="369"/>
      <c r="CF58" s="369"/>
      <c r="CG58" s="369"/>
      <c r="CH58" s="369"/>
      <c r="CI58" s="369"/>
      <c r="CJ58" s="369"/>
      <c r="CN58" s="368">
        <f t="shared" si="35"/>
        <v>0</v>
      </c>
      <c r="CO58" s="505">
        <f t="shared" si="36"/>
        <v>46</v>
      </c>
      <c r="CP58" s="368" t="str">
        <f t="shared" si="39"/>
        <v>Rhe-Ka-Phos 10+21+4</v>
      </c>
      <c r="CQ58" s="531">
        <f t="shared" si="40"/>
        <v>97</v>
      </c>
      <c r="CR58" s="368" t="str">
        <f t="shared" si="41"/>
        <v xml:space="preserve">Schweinegülle Stickfort </v>
      </c>
      <c r="CS58" s="532">
        <f t="shared" si="42"/>
        <v>47</v>
      </c>
      <c r="CU58" s="505"/>
      <c r="CV58" s="368" t="str">
        <f t="shared" si="43"/>
        <v>Körnermais Korn (10 % RP2)</v>
      </c>
      <c r="CW58" s="505">
        <f t="shared" si="44"/>
        <v>47</v>
      </c>
      <c r="CX58" s="368">
        <f t="shared" si="45"/>
        <v>0</v>
      </c>
      <c r="CY58" s="505">
        <f t="shared" si="46"/>
        <v>48</v>
      </c>
    </row>
    <row r="59" spans="1:103" ht="18" customHeight="1" x14ac:dyDescent="0.2">
      <c r="A59" s="368"/>
      <c r="B59" s="369"/>
      <c r="C59" s="648">
        <f t="shared" ref="C59:C89" si="51">C58+1</f>
        <v>47</v>
      </c>
      <c r="D59" s="649"/>
      <c r="E59" s="650"/>
      <c r="F59" s="709"/>
      <c r="G59" s="710"/>
      <c r="H59" s="710"/>
      <c r="I59" s="710"/>
      <c r="J59" s="652"/>
      <c r="K59" s="710"/>
      <c r="L59" s="710"/>
      <c r="M59" s="710"/>
      <c r="N59" s="711"/>
      <c r="O59" s="711"/>
      <c r="P59" s="711"/>
      <c r="Q59" s="711">
        <v>4.0000000000000001E-3</v>
      </c>
      <c r="R59" s="710">
        <v>0.17</v>
      </c>
      <c r="S59" s="369"/>
      <c r="T59" s="654">
        <f t="shared" si="37"/>
        <v>99</v>
      </c>
      <c r="U59" s="496" t="s">
        <v>396</v>
      </c>
      <c r="V59" s="497"/>
      <c r="W59" s="497">
        <v>12</v>
      </c>
      <c r="X59" s="497">
        <v>24</v>
      </c>
      <c r="Y59" s="497"/>
      <c r="Z59" s="497">
        <v>6</v>
      </c>
      <c r="AA59" s="497">
        <v>4</v>
      </c>
      <c r="AB59" s="512"/>
      <c r="AC59" s="369"/>
      <c r="AD59" s="527">
        <f t="shared" si="33"/>
        <v>48</v>
      </c>
      <c r="AE59" s="1022" t="s">
        <v>397</v>
      </c>
      <c r="AF59" s="1022"/>
      <c r="AG59" s="605">
        <v>10</v>
      </c>
      <c r="AH59" s="539">
        <v>8</v>
      </c>
      <c r="AI59" s="530">
        <f t="shared" si="32"/>
        <v>0.39200000000000002</v>
      </c>
      <c r="AJ59" s="530">
        <v>4.9000000000000004</v>
      </c>
      <c r="AK59" s="530">
        <v>4.9000000000000004</v>
      </c>
      <c r="AL59" s="530">
        <v>2.8</v>
      </c>
      <c r="AM59" s="541">
        <v>4.2</v>
      </c>
      <c r="AN59" s="541"/>
      <c r="AO59" s="369"/>
      <c r="AP59" s="369"/>
      <c r="AQ59" s="369"/>
      <c r="AR59" s="369"/>
      <c r="AS59" s="369"/>
      <c r="AT59" s="369"/>
      <c r="AU59" s="369"/>
      <c r="AV59" s="369"/>
      <c r="AW59" s="587">
        <f t="shared" si="49"/>
        <v>49</v>
      </c>
      <c r="AX59" s="528" t="str">
        <f t="shared" si="50"/>
        <v>Körnermais Korn + Stroh3 (10 % RP2)</v>
      </c>
      <c r="AY59" s="720" t="s">
        <v>362</v>
      </c>
      <c r="AZ59" s="499" t="s">
        <v>189</v>
      </c>
      <c r="BA59" s="497" t="s">
        <v>398</v>
      </c>
      <c r="BB59" s="523">
        <v>2.2799999999999998</v>
      </c>
      <c r="BC59" s="524">
        <v>1</v>
      </c>
      <c r="BD59" s="525">
        <v>0.44</v>
      </c>
      <c r="BE59" s="588"/>
      <c r="BF59" s="589"/>
      <c r="BG59" s="589"/>
      <c r="BH59" s="590"/>
      <c r="BI59" s="369"/>
      <c r="BJ59" s="593">
        <f t="shared" si="27"/>
        <v>50</v>
      </c>
      <c r="BK59" s="470"/>
      <c r="BL59" s="594"/>
      <c r="BM59" s="594"/>
      <c r="BN59" s="594"/>
      <c r="BO59" s="594"/>
      <c r="BP59" s="594"/>
      <c r="BQ59" s="594"/>
      <c r="BR59" s="369"/>
      <c r="BS59" s="369"/>
      <c r="BT59" s="369"/>
      <c r="BU59" s="369"/>
      <c r="BV59" s="369"/>
      <c r="BW59" s="369"/>
      <c r="BX59" s="369"/>
      <c r="BY59" s="369"/>
      <c r="BZ59" s="369"/>
      <c r="CB59" s="369"/>
      <c r="CC59" s="369"/>
      <c r="CD59" s="369"/>
      <c r="CE59" s="369"/>
      <c r="CF59" s="369"/>
      <c r="CG59" s="369"/>
      <c r="CH59" s="369"/>
      <c r="CI59" s="369"/>
      <c r="CJ59" s="369"/>
      <c r="CN59" s="368">
        <f t="shared" si="35"/>
        <v>0</v>
      </c>
      <c r="CO59" s="505">
        <f t="shared" si="36"/>
        <v>47</v>
      </c>
      <c r="CP59" s="368" t="str">
        <f t="shared" si="39"/>
        <v>Rhe-Ka-Phos 15+15+4</v>
      </c>
      <c r="CQ59" s="531">
        <f t="shared" si="40"/>
        <v>98</v>
      </c>
      <c r="CR59" s="368" t="str">
        <f t="shared" si="41"/>
        <v>Mischgülle (Bullen+Sauengülle Schw.</v>
      </c>
      <c r="CS59" s="532">
        <f t="shared" si="42"/>
        <v>48</v>
      </c>
      <c r="CU59" s="505"/>
      <c r="CV59" s="368" t="str">
        <f t="shared" si="43"/>
        <v>Körnermais Stroh (10 % RP2)</v>
      </c>
      <c r="CW59" s="505">
        <f t="shared" si="44"/>
        <v>48</v>
      </c>
      <c r="CX59" s="368">
        <f t="shared" si="45"/>
        <v>0</v>
      </c>
      <c r="CY59" s="505">
        <f t="shared" si="46"/>
        <v>49</v>
      </c>
    </row>
    <row r="60" spans="1:103" ht="18" customHeight="1" x14ac:dyDescent="0.2">
      <c r="A60" s="368"/>
      <c r="B60" s="369"/>
      <c r="C60" s="648">
        <f t="shared" si="51"/>
        <v>48</v>
      </c>
      <c r="D60" s="656"/>
      <c r="E60" s="650"/>
      <c r="F60" s="709"/>
      <c r="G60" s="710"/>
      <c r="H60" s="710"/>
      <c r="I60" s="710"/>
      <c r="J60" s="652"/>
      <c r="K60" s="710"/>
      <c r="L60" s="710"/>
      <c r="M60" s="710"/>
      <c r="N60" s="711"/>
      <c r="O60" s="711"/>
      <c r="P60" s="711"/>
      <c r="Q60" s="711">
        <v>4.0000000000000001E-3</v>
      </c>
      <c r="R60" s="710">
        <v>1.83</v>
      </c>
      <c r="S60" s="369"/>
      <c r="T60" s="654">
        <f t="shared" si="37"/>
        <v>100</v>
      </c>
      <c r="U60" s="496" t="s">
        <v>399</v>
      </c>
      <c r="V60" s="497"/>
      <c r="W60" s="497">
        <v>15</v>
      </c>
      <c r="X60" s="497">
        <v>20</v>
      </c>
      <c r="Y60" s="497"/>
      <c r="Z60" s="497">
        <v>7</v>
      </c>
      <c r="AA60" s="497">
        <v>5</v>
      </c>
      <c r="AB60" s="512"/>
      <c r="AC60" s="369"/>
      <c r="AD60" s="721" t="s">
        <v>400</v>
      </c>
      <c r="AE60" s="369"/>
      <c r="AF60" s="369"/>
      <c r="AG60" s="369"/>
      <c r="AH60" s="369"/>
      <c r="AI60" s="369"/>
      <c r="AJ60" s="369"/>
      <c r="AK60" s="369"/>
      <c r="AL60" s="369"/>
      <c r="AM60" s="369"/>
      <c r="AN60" s="369"/>
      <c r="AO60" s="369"/>
      <c r="AP60" s="369"/>
      <c r="AQ60" s="369"/>
      <c r="AR60" s="369"/>
      <c r="AS60" s="369"/>
      <c r="AT60" s="369"/>
      <c r="AU60" s="369"/>
      <c r="AV60" s="369"/>
      <c r="AW60" s="495"/>
      <c r="AX60" s="496" t="str">
        <f t="shared" si="50"/>
        <v>Körnermais Korn (11 % RP2)</v>
      </c>
      <c r="AY60" s="722" t="s">
        <v>288</v>
      </c>
      <c r="AZ60" s="723">
        <v>86</v>
      </c>
      <c r="BA60" s="723" t="s">
        <v>189</v>
      </c>
      <c r="BB60" s="724">
        <v>1.51</v>
      </c>
      <c r="BC60" s="725">
        <v>0.8</v>
      </c>
      <c r="BD60" s="726">
        <v>0.35</v>
      </c>
      <c r="BE60" s="664" t="s">
        <v>401</v>
      </c>
      <c r="BF60" s="665" t="s">
        <v>143</v>
      </c>
      <c r="BG60" s="727" t="s">
        <v>38</v>
      </c>
      <c r="BH60" s="666" t="s">
        <v>154</v>
      </c>
      <c r="BI60" s="369"/>
      <c r="BJ60" s="593">
        <f t="shared" si="27"/>
        <v>51</v>
      </c>
      <c r="BK60" s="470"/>
      <c r="BL60" s="594"/>
      <c r="BM60" s="594"/>
      <c r="BN60" s="594"/>
      <c r="BO60" s="594"/>
      <c r="BP60" s="594"/>
      <c r="BQ60" s="594"/>
      <c r="BR60" s="369"/>
      <c r="BS60" s="369"/>
      <c r="BT60" s="369"/>
      <c r="BU60" s="369"/>
      <c r="BV60" s="369"/>
      <c r="BW60" s="369"/>
      <c r="BX60" s="369"/>
      <c r="BY60" s="369"/>
      <c r="BZ60" s="369"/>
      <c r="CB60" s="369"/>
      <c r="CC60" s="369"/>
      <c r="CD60" s="369"/>
      <c r="CE60" s="369"/>
      <c r="CF60" s="369"/>
      <c r="CG60" s="369"/>
      <c r="CH60" s="369"/>
      <c r="CI60" s="369"/>
      <c r="CJ60" s="369"/>
      <c r="CN60" s="368">
        <f t="shared" si="35"/>
        <v>0</v>
      </c>
      <c r="CO60" s="505">
        <f t="shared" si="36"/>
        <v>48</v>
      </c>
      <c r="CP60" s="368" t="str">
        <f t="shared" si="39"/>
        <v>PK-Dünger 12+24</v>
      </c>
      <c r="CQ60" s="531">
        <f t="shared" si="40"/>
        <v>99</v>
      </c>
      <c r="CS60" s="532"/>
      <c r="CV60" s="368" t="str">
        <f t="shared" si="43"/>
        <v>Körnermais Korn + Stroh3 (10 % RP2)</v>
      </c>
      <c r="CW60" s="505">
        <f t="shared" si="44"/>
        <v>49</v>
      </c>
      <c r="CX60" s="368">
        <f t="shared" si="45"/>
        <v>0</v>
      </c>
      <c r="CY60" s="505">
        <f t="shared" si="46"/>
        <v>50</v>
      </c>
    </row>
    <row r="61" spans="1:103" ht="18" customHeight="1" x14ac:dyDescent="0.2">
      <c r="A61" s="368"/>
      <c r="B61" s="369"/>
      <c r="C61" s="648">
        <f t="shared" si="51"/>
        <v>49</v>
      </c>
      <c r="D61" s="649"/>
      <c r="E61" s="650"/>
      <c r="F61" s="709"/>
      <c r="G61" s="710"/>
      <c r="H61" s="710"/>
      <c r="I61" s="710"/>
      <c r="J61" s="652"/>
      <c r="K61" s="710"/>
      <c r="L61" s="710"/>
      <c r="M61" s="710"/>
      <c r="N61" s="711"/>
      <c r="O61" s="711"/>
      <c r="P61" s="711"/>
      <c r="Q61" s="711">
        <v>4.0000000000000001E-3</v>
      </c>
      <c r="R61" s="710">
        <v>1.83</v>
      </c>
      <c r="S61" s="369"/>
      <c r="T61" s="654">
        <f t="shared" si="37"/>
        <v>101</v>
      </c>
      <c r="U61" s="496" t="s">
        <v>402</v>
      </c>
      <c r="V61" s="497"/>
      <c r="W61" s="497">
        <v>16</v>
      </c>
      <c r="X61" s="497">
        <v>16</v>
      </c>
      <c r="Y61" s="497"/>
      <c r="Z61" s="497">
        <v>6</v>
      </c>
      <c r="AA61" s="497">
        <v>5</v>
      </c>
      <c r="AB61" s="512"/>
      <c r="AC61" s="369"/>
      <c r="AE61" s="369"/>
      <c r="AF61" s="369"/>
      <c r="AG61" s="369"/>
      <c r="AH61" s="369"/>
      <c r="AI61" s="369"/>
      <c r="AJ61" s="369"/>
      <c r="AK61" s="369"/>
      <c r="AL61" s="369"/>
      <c r="AM61" s="369"/>
      <c r="AN61" s="369"/>
      <c r="AO61" s="369"/>
      <c r="AP61" s="369"/>
      <c r="AQ61" s="369"/>
      <c r="AR61" s="369"/>
      <c r="AS61" s="369"/>
      <c r="AT61" s="369"/>
      <c r="AU61" s="369"/>
      <c r="AV61" s="369"/>
      <c r="AW61" s="495">
        <f>AW59+1</f>
        <v>50</v>
      </c>
      <c r="AX61" s="496" t="str">
        <f t="shared" si="50"/>
        <v>Körnermais Stroh (11 % RP2)</v>
      </c>
      <c r="AY61" s="522" t="s">
        <v>295</v>
      </c>
      <c r="AZ61" s="497">
        <v>86</v>
      </c>
      <c r="BA61" s="497" t="s">
        <v>189</v>
      </c>
      <c r="BB61" s="523">
        <v>0.9</v>
      </c>
      <c r="BC61" s="524">
        <v>0.2</v>
      </c>
      <c r="BD61" s="525">
        <v>0.09</v>
      </c>
      <c r="BE61" s="526"/>
      <c r="BF61" s="493"/>
      <c r="BG61" s="493"/>
      <c r="BH61" s="494"/>
      <c r="BI61" s="369"/>
      <c r="BJ61" s="593">
        <f t="shared" si="27"/>
        <v>52</v>
      </c>
      <c r="BK61" s="470"/>
      <c r="BL61" s="594"/>
      <c r="BM61" s="594"/>
      <c r="BN61" s="594"/>
      <c r="BO61" s="594"/>
      <c r="BP61" s="594"/>
      <c r="BQ61" s="594"/>
      <c r="BR61" s="369"/>
      <c r="BS61" s="369"/>
      <c r="BT61" s="369"/>
      <c r="BU61" s="369"/>
      <c r="BV61" s="369"/>
      <c r="BW61" s="369"/>
      <c r="BX61" s="369"/>
      <c r="BY61" s="369"/>
      <c r="BZ61" s="369"/>
      <c r="CB61" s="369"/>
      <c r="CC61" s="369"/>
      <c r="CD61" s="369"/>
      <c r="CE61" s="369"/>
      <c r="CF61" s="369"/>
      <c r="CG61" s="369"/>
      <c r="CH61" s="369"/>
      <c r="CI61" s="369"/>
      <c r="CJ61" s="369"/>
      <c r="CN61" s="368">
        <f t="shared" si="35"/>
        <v>0</v>
      </c>
      <c r="CO61" s="505">
        <f t="shared" si="36"/>
        <v>49</v>
      </c>
      <c r="CP61" s="368" t="str">
        <f t="shared" si="39"/>
        <v>PK-Dünger 15+20</v>
      </c>
      <c r="CQ61" s="531">
        <f t="shared" si="40"/>
        <v>100</v>
      </c>
      <c r="CS61" s="532"/>
      <c r="CV61" s="368" t="str">
        <f t="shared" si="43"/>
        <v>Körnermais Korn (11 % RP2)</v>
      </c>
      <c r="CW61" s="505">
        <f t="shared" si="44"/>
        <v>0</v>
      </c>
      <c r="CX61" s="368">
        <f t="shared" si="45"/>
        <v>0</v>
      </c>
      <c r="CY61" s="505">
        <f t="shared" si="46"/>
        <v>51</v>
      </c>
    </row>
    <row r="62" spans="1:103" ht="18" customHeight="1" x14ac:dyDescent="0.2">
      <c r="A62" s="368"/>
      <c r="B62" s="369"/>
      <c r="C62" s="648">
        <f t="shared" si="51"/>
        <v>50</v>
      </c>
      <c r="D62" s="649"/>
      <c r="E62" s="650"/>
      <c r="F62" s="709"/>
      <c r="G62" s="710"/>
      <c r="H62" s="710"/>
      <c r="I62" s="710"/>
      <c r="J62" s="652"/>
      <c r="K62" s="710"/>
      <c r="L62" s="710"/>
      <c r="M62" s="710"/>
      <c r="N62" s="711"/>
      <c r="O62" s="711"/>
      <c r="P62" s="711"/>
      <c r="Q62" s="711">
        <v>4.0000000000000001E-3</v>
      </c>
      <c r="R62" s="710">
        <v>0.13</v>
      </c>
      <c r="S62" s="369"/>
      <c r="T62" s="654">
        <f t="shared" si="37"/>
        <v>102</v>
      </c>
      <c r="U62" s="496" t="s">
        <v>403</v>
      </c>
      <c r="V62" s="497"/>
      <c r="W62" s="497">
        <v>12</v>
      </c>
      <c r="X62" s="497">
        <v>19</v>
      </c>
      <c r="Y62" s="497">
        <v>4</v>
      </c>
      <c r="Z62" s="497">
        <v>5</v>
      </c>
      <c r="AA62" s="497">
        <v>4</v>
      </c>
      <c r="AB62" s="512"/>
      <c r="AC62" s="369"/>
      <c r="AE62" s="369"/>
      <c r="AF62" s="369"/>
      <c r="AG62" s="369"/>
      <c r="AH62" s="369"/>
      <c r="AI62" s="369"/>
      <c r="AJ62" s="369"/>
      <c r="AK62" s="369"/>
      <c r="AL62" s="369"/>
      <c r="AM62" s="369"/>
      <c r="AN62" s="369"/>
      <c r="AO62" s="369"/>
      <c r="AP62" s="369"/>
      <c r="AQ62" s="369"/>
      <c r="AR62" s="369"/>
      <c r="AS62" s="369"/>
      <c r="AT62" s="369"/>
      <c r="AU62" s="369"/>
      <c r="AV62" s="369"/>
      <c r="AW62" s="495">
        <f t="shared" ref="AW62:AW93" si="52">AW61+1</f>
        <v>51</v>
      </c>
      <c r="AX62" s="554" t="str">
        <f t="shared" si="50"/>
        <v>Körnermais Korn + Stroh3 (11 % RP2)</v>
      </c>
      <c r="AY62" s="555" t="s">
        <v>300</v>
      </c>
      <c r="AZ62" s="556" t="s">
        <v>189</v>
      </c>
      <c r="BA62" s="556" t="s">
        <v>398</v>
      </c>
      <c r="BB62" s="557">
        <v>2.41</v>
      </c>
      <c r="BC62" s="558">
        <v>1</v>
      </c>
      <c r="BD62" s="559">
        <v>0.44</v>
      </c>
      <c r="BE62" s="526"/>
      <c r="BF62" s="493"/>
      <c r="BG62" s="493"/>
      <c r="BH62" s="494"/>
      <c r="BI62" s="369"/>
      <c r="BJ62" s="593">
        <f t="shared" si="27"/>
        <v>53</v>
      </c>
      <c r="BK62" s="470"/>
      <c r="BL62" s="594"/>
      <c r="BM62" s="594"/>
      <c r="BN62" s="594"/>
      <c r="BO62" s="594"/>
      <c r="BP62" s="594"/>
      <c r="BQ62" s="594"/>
      <c r="BR62" s="369"/>
      <c r="BS62" s="369"/>
      <c r="BT62" s="369"/>
      <c r="BU62" s="369"/>
      <c r="BV62" s="369"/>
      <c r="BW62" s="369"/>
      <c r="BX62" s="369"/>
      <c r="BY62" s="369"/>
      <c r="BZ62" s="369"/>
      <c r="CB62" s="369"/>
      <c r="CC62" s="369"/>
      <c r="CD62" s="369"/>
      <c r="CE62" s="369"/>
      <c r="CF62" s="369"/>
      <c r="CG62" s="369"/>
      <c r="CH62" s="369"/>
      <c r="CI62" s="369"/>
      <c r="CJ62" s="369"/>
      <c r="CN62" s="368">
        <f t="shared" si="35"/>
        <v>0</v>
      </c>
      <c r="CO62" s="505">
        <f t="shared" si="36"/>
        <v>50</v>
      </c>
      <c r="CP62" s="368" t="str">
        <f t="shared" si="39"/>
        <v>PK-Dünger 16+16</v>
      </c>
      <c r="CQ62" s="531">
        <f t="shared" si="40"/>
        <v>101</v>
      </c>
      <c r="CS62" s="532"/>
      <c r="CV62" s="368" t="str">
        <f t="shared" si="43"/>
        <v>Körnermais Stroh (11 % RP2)</v>
      </c>
      <c r="CW62" s="505">
        <f t="shared" si="44"/>
        <v>50</v>
      </c>
      <c r="CX62" s="368">
        <f t="shared" si="45"/>
        <v>0</v>
      </c>
      <c r="CY62" s="505">
        <f t="shared" si="46"/>
        <v>52</v>
      </c>
    </row>
    <row r="63" spans="1:103" ht="18" customHeight="1" x14ac:dyDescent="0.2">
      <c r="A63" s="368"/>
      <c r="B63" s="369"/>
      <c r="C63" s="648">
        <f t="shared" si="51"/>
        <v>51</v>
      </c>
      <c r="D63" s="649"/>
      <c r="E63" s="650"/>
      <c r="F63" s="709"/>
      <c r="G63" s="710"/>
      <c r="H63" s="710"/>
      <c r="I63" s="710"/>
      <c r="J63" s="652"/>
      <c r="K63" s="710"/>
      <c r="L63" s="710"/>
      <c r="M63" s="710"/>
      <c r="N63" s="711"/>
      <c r="O63" s="711"/>
      <c r="P63" s="711"/>
      <c r="Q63" s="711">
        <v>4.0000000000000001E-3</v>
      </c>
      <c r="R63" s="710">
        <v>0.13</v>
      </c>
      <c r="S63" s="369"/>
      <c r="T63" s="654">
        <f t="shared" si="37"/>
        <v>103</v>
      </c>
      <c r="U63" s="496" t="s">
        <v>404</v>
      </c>
      <c r="V63" s="497"/>
      <c r="W63" s="497">
        <v>14</v>
      </c>
      <c r="X63" s="497">
        <v>14</v>
      </c>
      <c r="Y63" s="497">
        <v>4</v>
      </c>
      <c r="Z63" s="497">
        <v>9</v>
      </c>
      <c r="AA63" s="497">
        <v>5</v>
      </c>
      <c r="AB63" s="512"/>
      <c r="AC63" s="369"/>
      <c r="AE63" s="369"/>
      <c r="AF63" s="369"/>
      <c r="AG63" s="369"/>
      <c r="AH63" s="369"/>
      <c r="AI63" s="369"/>
      <c r="AJ63" s="369"/>
      <c r="AK63" s="369"/>
      <c r="AL63" s="369"/>
      <c r="AM63" s="369"/>
      <c r="AN63" s="369"/>
      <c r="AO63" s="369"/>
      <c r="AP63" s="369"/>
      <c r="AQ63" s="369"/>
      <c r="AR63" s="369"/>
      <c r="AS63" s="369"/>
      <c r="AT63" s="369"/>
      <c r="AU63" s="369"/>
      <c r="AV63" s="369"/>
      <c r="AW63" s="495">
        <f t="shared" si="52"/>
        <v>52</v>
      </c>
      <c r="AX63" s="564" t="s">
        <v>405</v>
      </c>
      <c r="AY63" s="565"/>
      <c r="AZ63" s="566"/>
      <c r="BA63" s="566"/>
      <c r="BB63" s="567"/>
      <c r="BC63" s="568"/>
      <c r="BD63" s="569"/>
      <c r="BE63" s="526"/>
      <c r="BF63" s="493"/>
      <c r="BG63" s="493"/>
      <c r="BH63" s="494"/>
      <c r="BI63" s="369"/>
      <c r="BJ63" s="593">
        <f t="shared" si="27"/>
        <v>54</v>
      </c>
      <c r="BK63" s="470"/>
      <c r="BL63" s="594"/>
      <c r="BM63" s="594"/>
      <c r="BN63" s="594"/>
      <c r="BO63" s="594"/>
      <c r="BP63" s="594"/>
      <c r="BQ63" s="594"/>
      <c r="BR63" s="369"/>
      <c r="BS63" s="369"/>
      <c r="BT63" s="369"/>
      <c r="BU63" s="369"/>
      <c r="BV63" s="369"/>
      <c r="BW63" s="369"/>
      <c r="BX63" s="369"/>
      <c r="BY63" s="369"/>
      <c r="BZ63" s="369"/>
      <c r="CB63" s="369"/>
      <c r="CC63" s="369"/>
      <c r="CD63" s="369"/>
      <c r="CE63" s="369"/>
      <c r="CF63" s="369"/>
      <c r="CG63" s="369"/>
      <c r="CH63" s="369"/>
      <c r="CI63" s="369"/>
      <c r="CJ63" s="369"/>
      <c r="CN63" s="368">
        <f t="shared" si="35"/>
        <v>0</v>
      </c>
      <c r="CO63" s="505">
        <f t="shared" si="36"/>
        <v>51</v>
      </c>
      <c r="CP63" s="368" t="str">
        <f t="shared" si="39"/>
        <v>PK-Dünger 12+19+4</v>
      </c>
      <c r="CQ63" s="531">
        <f t="shared" si="40"/>
        <v>102</v>
      </c>
      <c r="CS63" s="532"/>
      <c r="CV63" s="368" t="str">
        <f t="shared" si="43"/>
        <v>Körnermais Korn + Stroh3 (11 % RP2)</v>
      </c>
      <c r="CW63" s="505">
        <f t="shared" si="44"/>
        <v>51</v>
      </c>
      <c r="CX63" s="368">
        <f t="shared" si="45"/>
        <v>0</v>
      </c>
      <c r="CY63" s="505">
        <f t="shared" si="46"/>
        <v>53</v>
      </c>
    </row>
    <row r="64" spans="1:103" ht="18" customHeight="1" x14ac:dyDescent="0.2">
      <c r="A64" s="368"/>
      <c r="B64" s="369"/>
      <c r="C64" s="648">
        <f t="shared" si="51"/>
        <v>52</v>
      </c>
      <c r="D64" s="649"/>
      <c r="E64" s="650"/>
      <c r="F64" s="709"/>
      <c r="G64" s="710"/>
      <c r="H64" s="710"/>
      <c r="I64" s="710"/>
      <c r="J64" s="652"/>
      <c r="K64" s="710"/>
      <c r="L64" s="710"/>
      <c r="M64" s="710"/>
      <c r="N64" s="711"/>
      <c r="O64" s="711"/>
      <c r="P64" s="711"/>
      <c r="Q64" s="711">
        <v>4.0000000000000001E-3</v>
      </c>
      <c r="R64" s="710">
        <v>0.13</v>
      </c>
      <c r="S64" s="369"/>
      <c r="T64" s="654">
        <f t="shared" si="37"/>
        <v>104</v>
      </c>
      <c r="U64" s="496" t="s">
        <v>406</v>
      </c>
      <c r="V64" s="497"/>
      <c r="W64" s="497">
        <v>7</v>
      </c>
      <c r="X64" s="497">
        <v>21</v>
      </c>
      <c r="Y64" s="497">
        <v>3</v>
      </c>
      <c r="Z64" s="497">
        <v>2</v>
      </c>
      <c r="AA64" s="497">
        <v>20</v>
      </c>
      <c r="AB64" s="512"/>
      <c r="AC64" s="369"/>
      <c r="AE64" s="369"/>
      <c r="AF64" s="369"/>
      <c r="AG64" s="369"/>
      <c r="AH64" s="369"/>
      <c r="AI64" s="369"/>
      <c r="AJ64" s="369"/>
      <c r="AK64" s="369"/>
      <c r="AL64" s="369"/>
      <c r="AM64" s="369"/>
      <c r="AN64" s="369"/>
      <c r="AO64" s="369"/>
      <c r="AP64" s="369"/>
      <c r="AQ64" s="369"/>
      <c r="AR64" s="369"/>
      <c r="AS64" s="369"/>
      <c r="AT64" s="369"/>
      <c r="AU64" s="369"/>
      <c r="AV64" s="369"/>
      <c r="AW64" s="495">
        <f t="shared" si="52"/>
        <v>53</v>
      </c>
      <c r="AX64" s="496" t="str">
        <f>CONCATENATE("Ackerbohne ",AY64)</f>
        <v>Ackerbohne Korn (30 % RP2)</v>
      </c>
      <c r="AY64" s="522" t="s">
        <v>407</v>
      </c>
      <c r="AZ64" s="497">
        <v>86</v>
      </c>
      <c r="BA64" s="497" t="s">
        <v>189</v>
      </c>
      <c r="BB64" s="523">
        <v>4.0999999999999996</v>
      </c>
      <c r="BC64" s="524">
        <v>1.2</v>
      </c>
      <c r="BD64" s="525">
        <v>0.52</v>
      </c>
      <c r="BE64" s="526"/>
      <c r="BF64" s="493"/>
      <c r="BG64" s="493"/>
      <c r="BH64" s="494"/>
      <c r="BI64" s="369"/>
      <c r="BJ64" s="593">
        <f t="shared" si="27"/>
        <v>55</v>
      </c>
      <c r="BK64" s="470"/>
      <c r="BL64" s="594"/>
      <c r="BM64" s="594"/>
      <c r="BN64" s="594"/>
      <c r="BO64" s="594"/>
      <c r="BP64" s="594"/>
      <c r="BQ64" s="594"/>
      <c r="BR64" s="369"/>
      <c r="BS64" s="369"/>
      <c r="BT64" s="369"/>
      <c r="BU64" s="369"/>
      <c r="BV64" s="369"/>
      <c r="BW64" s="369"/>
      <c r="BX64" s="369"/>
      <c r="BY64" s="369"/>
      <c r="BZ64" s="369"/>
      <c r="CB64" s="369"/>
      <c r="CC64" s="369"/>
      <c r="CD64" s="369"/>
      <c r="CE64" s="369"/>
      <c r="CF64" s="369"/>
      <c r="CG64" s="369"/>
      <c r="CH64" s="369"/>
      <c r="CI64" s="369"/>
      <c r="CJ64" s="369"/>
      <c r="CN64" s="368">
        <f t="shared" si="35"/>
        <v>0</v>
      </c>
      <c r="CO64" s="505">
        <f t="shared" si="36"/>
        <v>52</v>
      </c>
      <c r="CP64" s="368" t="str">
        <f t="shared" si="39"/>
        <v>PK-Dünger 14+14+4</v>
      </c>
      <c r="CQ64" s="531">
        <f t="shared" si="40"/>
        <v>103</v>
      </c>
      <c r="CS64" s="532"/>
      <c r="CV64" s="368" t="str">
        <f t="shared" si="43"/>
        <v>Einjährige Körnerleguminosen</v>
      </c>
      <c r="CW64" s="505">
        <f t="shared" si="44"/>
        <v>52</v>
      </c>
      <c r="CX64" s="368">
        <f t="shared" si="45"/>
        <v>0</v>
      </c>
      <c r="CY64" s="505">
        <f t="shared" si="46"/>
        <v>54</v>
      </c>
    </row>
    <row r="65" spans="1:103" ht="18" customHeight="1" x14ac:dyDescent="0.2">
      <c r="A65" s="368"/>
      <c r="B65" s="369"/>
      <c r="C65" s="648">
        <f t="shared" si="51"/>
        <v>53</v>
      </c>
      <c r="D65" s="656"/>
      <c r="E65" s="650"/>
      <c r="F65" s="709"/>
      <c r="G65" s="710"/>
      <c r="H65" s="710"/>
      <c r="I65" s="710"/>
      <c r="J65" s="652"/>
      <c r="K65" s="710"/>
      <c r="L65" s="710"/>
      <c r="M65" s="710"/>
      <c r="N65" s="711"/>
      <c r="O65" s="711"/>
      <c r="P65" s="711"/>
      <c r="Q65" s="711">
        <v>4.0000000000000001E-3</v>
      </c>
      <c r="R65" s="710">
        <v>0.13</v>
      </c>
      <c r="S65" s="369"/>
      <c r="T65" s="654">
        <f t="shared" si="37"/>
        <v>105</v>
      </c>
      <c r="U65" s="496" t="s">
        <v>408</v>
      </c>
      <c r="V65" s="497"/>
      <c r="W65" s="497">
        <v>10</v>
      </c>
      <c r="X65" s="497">
        <v>20</v>
      </c>
      <c r="Y65" s="497">
        <v>3</v>
      </c>
      <c r="Z65" s="497">
        <v>2</v>
      </c>
      <c r="AA65" s="497">
        <v>20</v>
      </c>
      <c r="AB65" s="512"/>
      <c r="AC65" s="369"/>
      <c r="AE65" s="369"/>
      <c r="AF65" s="369"/>
      <c r="AG65" s="369"/>
      <c r="AH65" s="369"/>
      <c r="AI65" s="369"/>
      <c r="AJ65" s="369"/>
      <c r="AK65" s="369"/>
      <c r="AL65" s="369"/>
      <c r="AM65" s="369"/>
      <c r="AN65" s="369"/>
      <c r="AO65" s="369"/>
      <c r="AP65" s="369"/>
      <c r="AQ65" s="369"/>
      <c r="AR65" s="369"/>
      <c r="AS65" s="369"/>
      <c r="AT65" s="369"/>
      <c r="AU65" s="369"/>
      <c r="AV65" s="369"/>
      <c r="AW65" s="495">
        <f t="shared" si="52"/>
        <v>54</v>
      </c>
      <c r="AX65" s="496" t="str">
        <f>CONCATENATE("Ackerbohne ",AY65)</f>
        <v>Ackerbohne Stroh (30 % RP2)</v>
      </c>
      <c r="AY65" s="522" t="s">
        <v>409</v>
      </c>
      <c r="AZ65" s="497">
        <v>86</v>
      </c>
      <c r="BA65" s="497" t="s">
        <v>189</v>
      </c>
      <c r="BB65" s="523">
        <v>1.5</v>
      </c>
      <c r="BC65" s="524">
        <v>0.3</v>
      </c>
      <c r="BD65" s="525">
        <v>0.13</v>
      </c>
      <c r="BE65" s="526"/>
      <c r="BF65" s="493"/>
      <c r="BG65" s="493"/>
      <c r="BH65" s="494"/>
      <c r="BI65" s="369"/>
      <c r="BJ65" s="593">
        <f t="shared" si="27"/>
        <v>56</v>
      </c>
      <c r="BK65" s="470"/>
      <c r="BL65" s="594"/>
      <c r="BM65" s="594"/>
      <c r="BN65" s="594"/>
      <c r="BO65" s="594"/>
      <c r="BP65" s="594"/>
      <c r="BQ65" s="594"/>
      <c r="BR65" s="369"/>
      <c r="BS65" s="369"/>
      <c r="BT65" s="369"/>
      <c r="BU65" s="369"/>
      <c r="BV65" s="369"/>
      <c r="BW65" s="369"/>
      <c r="BX65" s="369"/>
      <c r="BY65" s="369"/>
      <c r="BZ65" s="369"/>
      <c r="CB65" s="369"/>
      <c r="CC65" s="369"/>
      <c r="CD65" s="369"/>
      <c r="CE65" s="369"/>
      <c r="CF65" s="369"/>
      <c r="CG65" s="369"/>
      <c r="CH65" s="369"/>
      <c r="CI65" s="369"/>
      <c r="CJ65" s="369"/>
      <c r="CN65" s="368">
        <f t="shared" si="35"/>
        <v>0</v>
      </c>
      <c r="CO65" s="505">
        <f t="shared" si="36"/>
        <v>53</v>
      </c>
      <c r="CP65" s="368" t="str">
        <f t="shared" si="39"/>
        <v>Thomaskali 7+21+3</v>
      </c>
      <c r="CQ65" s="531">
        <f t="shared" si="40"/>
        <v>104</v>
      </c>
      <c r="CS65" s="532"/>
      <c r="CV65" s="368" t="str">
        <f t="shared" si="43"/>
        <v>Ackerbohne Korn (30 % RP2)</v>
      </c>
      <c r="CW65" s="505">
        <f t="shared" si="44"/>
        <v>53</v>
      </c>
      <c r="CX65" s="368">
        <f t="shared" si="45"/>
        <v>0</v>
      </c>
      <c r="CY65" s="505">
        <f t="shared" si="46"/>
        <v>55</v>
      </c>
    </row>
    <row r="66" spans="1:103" ht="18" customHeight="1" x14ac:dyDescent="0.2">
      <c r="A66" s="368"/>
      <c r="B66" s="369"/>
      <c r="C66" s="648">
        <f t="shared" si="51"/>
        <v>54</v>
      </c>
      <c r="D66" s="656"/>
      <c r="E66" s="650"/>
      <c r="F66" s="709"/>
      <c r="G66" s="710"/>
      <c r="H66" s="710"/>
      <c r="I66" s="710"/>
      <c r="J66" s="652"/>
      <c r="K66" s="710"/>
      <c r="L66" s="710"/>
      <c r="M66" s="710"/>
      <c r="N66" s="711"/>
      <c r="O66" s="711"/>
      <c r="P66" s="711"/>
      <c r="Q66" s="711">
        <v>4.0000000000000001E-3</v>
      </c>
      <c r="R66" s="710">
        <v>0.13</v>
      </c>
      <c r="S66" s="369"/>
      <c r="T66" s="654">
        <f t="shared" si="37"/>
        <v>106</v>
      </c>
      <c r="U66" s="496" t="s">
        <v>410</v>
      </c>
      <c r="V66" s="497"/>
      <c r="W66" s="497">
        <v>12</v>
      </c>
      <c r="X66" s="497">
        <v>18</v>
      </c>
      <c r="Y66" s="497">
        <v>3</v>
      </c>
      <c r="Z66" s="497">
        <v>2</v>
      </c>
      <c r="AA66" s="497">
        <v>20</v>
      </c>
      <c r="AB66" s="512"/>
      <c r="AC66" s="369"/>
      <c r="AE66" s="369"/>
      <c r="AF66" s="369"/>
      <c r="AG66" s="369"/>
      <c r="AH66" s="369"/>
      <c r="AI66" s="369"/>
      <c r="AJ66" s="369"/>
      <c r="AK66" s="369"/>
      <c r="AL66" s="369"/>
      <c r="AM66" s="369"/>
      <c r="AN66" s="369"/>
      <c r="AO66" s="369"/>
      <c r="AP66" s="369"/>
      <c r="AQ66" s="369"/>
      <c r="AR66" s="369"/>
      <c r="AS66" s="369"/>
      <c r="AT66" s="369"/>
      <c r="AU66" s="369"/>
      <c r="AV66" s="369"/>
      <c r="AW66" s="495">
        <f t="shared" si="52"/>
        <v>55</v>
      </c>
      <c r="AX66" s="496" t="str">
        <f>CONCATENATE("Ackerbohne ",AY66)</f>
        <v>Ackerbohne Korn + Stroh3 (30 % RP2)</v>
      </c>
      <c r="AY66" s="522" t="s">
        <v>411</v>
      </c>
      <c r="AZ66" s="497" t="s">
        <v>189</v>
      </c>
      <c r="BA66" s="497" t="s">
        <v>398</v>
      </c>
      <c r="BB66" s="523">
        <v>5.6</v>
      </c>
      <c r="BC66" s="524">
        <v>1.5</v>
      </c>
      <c r="BD66" s="525">
        <v>0.65</v>
      </c>
      <c r="BE66" s="526"/>
      <c r="BF66" s="493"/>
      <c r="BG66" s="493"/>
      <c r="BH66" s="494"/>
      <c r="BI66" s="369"/>
      <c r="BJ66" s="593">
        <f t="shared" si="27"/>
        <v>57</v>
      </c>
      <c r="BK66" s="470"/>
      <c r="BL66" s="594"/>
      <c r="BM66" s="594"/>
      <c r="BN66" s="594"/>
      <c r="BO66" s="594"/>
      <c r="BP66" s="594"/>
      <c r="BQ66" s="594"/>
      <c r="BR66" s="369"/>
      <c r="BS66" s="369"/>
      <c r="BT66" s="369"/>
      <c r="BU66" s="369"/>
      <c r="BV66" s="369"/>
      <c r="BW66" s="369"/>
      <c r="BX66" s="369"/>
      <c r="BY66" s="369"/>
      <c r="BZ66" s="369"/>
      <c r="CB66" s="369"/>
      <c r="CC66" s="369"/>
      <c r="CD66" s="369"/>
      <c r="CE66" s="369"/>
      <c r="CF66" s="369"/>
      <c r="CG66" s="369"/>
      <c r="CH66" s="369"/>
      <c r="CI66" s="369"/>
      <c r="CJ66" s="369"/>
      <c r="CN66" s="368">
        <f t="shared" si="35"/>
        <v>0</v>
      </c>
      <c r="CO66" s="505">
        <f t="shared" si="36"/>
        <v>54</v>
      </c>
      <c r="CP66" s="368" t="str">
        <f t="shared" si="39"/>
        <v>Thomaskali 10+20+3</v>
      </c>
      <c r="CQ66" s="531">
        <f t="shared" si="40"/>
        <v>105</v>
      </c>
      <c r="CS66" s="532"/>
      <c r="CV66" s="368" t="str">
        <f t="shared" si="43"/>
        <v>Ackerbohne Stroh (30 % RP2)</v>
      </c>
      <c r="CW66" s="505">
        <f t="shared" si="44"/>
        <v>54</v>
      </c>
      <c r="CX66" s="368">
        <f t="shared" si="45"/>
        <v>0</v>
      </c>
      <c r="CY66" s="505">
        <f t="shared" si="46"/>
        <v>56</v>
      </c>
    </row>
    <row r="67" spans="1:103" ht="18" customHeight="1" x14ac:dyDescent="0.2">
      <c r="A67" s="368"/>
      <c r="B67" s="369"/>
      <c r="C67" s="648">
        <f t="shared" si="51"/>
        <v>55</v>
      </c>
      <c r="D67" s="656"/>
      <c r="E67" s="650"/>
      <c r="F67" s="709"/>
      <c r="G67" s="710"/>
      <c r="H67" s="710"/>
      <c r="I67" s="710"/>
      <c r="J67" s="652"/>
      <c r="K67" s="710"/>
      <c r="L67" s="710"/>
      <c r="M67" s="710"/>
      <c r="N67" s="711"/>
      <c r="O67" s="711"/>
      <c r="P67" s="711"/>
      <c r="Q67" s="711">
        <v>4.0000000000000001E-3</v>
      </c>
      <c r="R67" s="710">
        <v>0.13</v>
      </c>
      <c r="S67" s="369"/>
      <c r="T67" s="654">
        <f t="shared" si="37"/>
        <v>107</v>
      </c>
      <c r="U67" s="496" t="s">
        <v>412</v>
      </c>
      <c r="V67" s="497"/>
      <c r="W67" s="497">
        <v>10</v>
      </c>
      <c r="X67" s="497">
        <v>15</v>
      </c>
      <c r="Y67" s="497">
        <v>3</v>
      </c>
      <c r="Z67" s="497">
        <v>2</v>
      </c>
      <c r="AA67" s="497">
        <v>24</v>
      </c>
      <c r="AB67" s="512"/>
      <c r="AC67" s="369"/>
      <c r="AE67" s="369"/>
      <c r="AF67" s="369"/>
      <c r="AG67" s="369"/>
      <c r="AH67" s="369"/>
      <c r="AI67" s="369"/>
      <c r="AJ67" s="369"/>
      <c r="AK67" s="369"/>
      <c r="AL67" s="369"/>
      <c r="AM67" s="369"/>
      <c r="AN67" s="369"/>
      <c r="AO67" s="369"/>
      <c r="AP67" s="369"/>
      <c r="AQ67" s="369"/>
      <c r="AR67" s="369"/>
      <c r="AS67" s="369"/>
      <c r="AT67" s="369"/>
      <c r="AU67" s="369"/>
      <c r="AV67" s="369"/>
      <c r="AW67" s="495">
        <f t="shared" si="52"/>
        <v>56</v>
      </c>
      <c r="AX67" s="496" t="str">
        <f>CONCATENATE("Erbse ",AY67)</f>
        <v>Erbse Korn (26 % RP2)</v>
      </c>
      <c r="AY67" s="522" t="s">
        <v>413</v>
      </c>
      <c r="AZ67" s="497">
        <v>86</v>
      </c>
      <c r="BA67" s="497" t="s">
        <v>189</v>
      </c>
      <c r="BB67" s="523">
        <v>3.6</v>
      </c>
      <c r="BC67" s="524">
        <v>1.1000000000000001</v>
      </c>
      <c r="BD67" s="525">
        <v>0.48</v>
      </c>
      <c r="BE67" s="526"/>
      <c r="BF67" s="493"/>
      <c r="BG67" s="493"/>
      <c r="BH67" s="494"/>
      <c r="BI67" s="369"/>
      <c r="BJ67" s="593">
        <f t="shared" si="27"/>
        <v>58</v>
      </c>
      <c r="BK67" s="470"/>
      <c r="BL67" s="594"/>
      <c r="BM67" s="594"/>
      <c r="BN67" s="594"/>
      <c r="BO67" s="594"/>
      <c r="BP67" s="594"/>
      <c r="BQ67" s="594"/>
      <c r="BR67" s="369"/>
      <c r="BS67" s="369"/>
      <c r="BT67" s="369"/>
      <c r="BU67" s="369"/>
      <c r="BV67" s="369"/>
      <c r="BW67" s="369"/>
      <c r="BX67" s="369"/>
      <c r="BY67" s="369"/>
      <c r="BZ67" s="369"/>
      <c r="CB67" s="369"/>
      <c r="CC67" s="369"/>
      <c r="CD67" s="369"/>
      <c r="CE67" s="369"/>
      <c r="CF67" s="369"/>
      <c r="CG67" s="369"/>
      <c r="CH67" s="369"/>
      <c r="CI67" s="369"/>
      <c r="CJ67" s="369"/>
      <c r="CN67" s="368">
        <f t="shared" si="35"/>
        <v>0</v>
      </c>
      <c r="CO67" s="505">
        <f t="shared" si="36"/>
        <v>55</v>
      </c>
      <c r="CP67" s="368" t="str">
        <f t="shared" si="39"/>
        <v>Thomaskali 12+18+3</v>
      </c>
      <c r="CQ67" s="531">
        <f t="shared" si="40"/>
        <v>106</v>
      </c>
      <c r="CS67" s="532"/>
      <c r="CV67" s="368" t="str">
        <f t="shared" si="43"/>
        <v>Ackerbohne Korn + Stroh3 (30 % RP2)</v>
      </c>
      <c r="CW67" s="505">
        <f t="shared" si="44"/>
        <v>55</v>
      </c>
      <c r="CX67" s="368">
        <f t="shared" si="45"/>
        <v>0</v>
      </c>
      <c r="CY67" s="505">
        <f t="shared" si="46"/>
        <v>57</v>
      </c>
    </row>
    <row r="68" spans="1:103" ht="18" customHeight="1" x14ac:dyDescent="0.2">
      <c r="A68" s="368"/>
      <c r="B68" s="369"/>
      <c r="C68" s="648">
        <f t="shared" si="51"/>
        <v>56</v>
      </c>
      <c r="D68" s="649"/>
      <c r="E68" s="650"/>
      <c r="F68" s="709"/>
      <c r="G68" s="710"/>
      <c r="H68" s="710"/>
      <c r="I68" s="710"/>
      <c r="J68" s="652"/>
      <c r="K68" s="710"/>
      <c r="L68" s="710"/>
      <c r="M68" s="710"/>
      <c r="N68" s="711"/>
      <c r="O68" s="711"/>
      <c r="P68" s="711"/>
      <c r="Q68" s="711">
        <v>4.0000000000000001E-3</v>
      </c>
      <c r="R68" s="710"/>
      <c r="S68" s="369"/>
      <c r="T68" s="654">
        <f t="shared" si="37"/>
        <v>108</v>
      </c>
      <c r="U68" s="496" t="s">
        <v>414</v>
      </c>
      <c r="V68" s="497"/>
      <c r="W68" s="497">
        <v>8</v>
      </c>
      <c r="X68" s="497">
        <v>15</v>
      </c>
      <c r="Y68" s="497">
        <v>6</v>
      </c>
      <c r="Z68" s="497">
        <v>3</v>
      </c>
      <c r="AA68" s="497">
        <v>20</v>
      </c>
      <c r="AB68" s="512"/>
      <c r="AC68" s="369"/>
      <c r="AE68" s="369"/>
      <c r="AF68" s="369"/>
      <c r="AG68" s="369"/>
      <c r="AH68" s="369"/>
      <c r="AI68" s="369"/>
      <c r="AJ68" s="369"/>
      <c r="AK68" s="369"/>
      <c r="AL68" s="369"/>
      <c r="AM68" s="369"/>
      <c r="AN68" s="369"/>
      <c r="AO68" s="369"/>
      <c r="AP68" s="369"/>
      <c r="AQ68" s="369"/>
      <c r="AR68" s="369"/>
      <c r="AS68" s="369"/>
      <c r="AT68" s="369"/>
      <c r="AU68" s="369"/>
      <c r="AV68" s="369"/>
      <c r="AW68" s="495">
        <f t="shared" si="52"/>
        <v>57</v>
      </c>
      <c r="AX68" s="496" t="str">
        <f>CONCATENATE("Erbse ",AY68)</f>
        <v>Erbse Stroh (26 % RP2)</v>
      </c>
      <c r="AY68" s="522" t="s">
        <v>415</v>
      </c>
      <c r="AZ68" s="497">
        <v>86</v>
      </c>
      <c r="BA68" s="497" t="s">
        <v>189</v>
      </c>
      <c r="BB68" s="523">
        <v>1.5</v>
      </c>
      <c r="BC68" s="524">
        <v>0.3</v>
      </c>
      <c r="BD68" s="525">
        <v>0.13</v>
      </c>
      <c r="BE68" s="526"/>
      <c r="BF68" s="493"/>
      <c r="BG68" s="493"/>
      <c r="BH68" s="494"/>
      <c r="BI68" s="369"/>
      <c r="BJ68" s="593">
        <f t="shared" si="27"/>
        <v>59</v>
      </c>
      <c r="BK68" s="470"/>
      <c r="BL68" s="594"/>
      <c r="BM68" s="594"/>
      <c r="BN68" s="594"/>
      <c r="BO68" s="594"/>
      <c r="BP68" s="594"/>
      <c r="BQ68" s="594"/>
      <c r="BR68" s="369"/>
      <c r="BS68" s="369"/>
      <c r="BT68" s="369"/>
      <c r="BU68" s="369"/>
      <c r="BV68" s="369"/>
      <c r="BW68" s="369"/>
      <c r="BX68" s="369"/>
      <c r="BY68" s="369"/>
      <c r="BZ68" s="369"/>
      <c r="CB68" s="369"/>
      <c r="CC68" s="369"/>
      <c r="CD68" s="369"/>
      <c r="CE68" s="369"/>
      <c r="CF68" s="369"/>
      <c r="CG68" s="369"/>
      <c r="CH68" s="369"/>
      <c r="CI68" s="369"/>
      <c r="CJ68" s="369"/>
      <c r="CN68" s="368">
        <f t="shared" si="35"/>
        <v>0</v>
      </c>
      <c r="CO68" s="505">
        <f t="shared" si="36"/>
        <v>56</v>
      </c>
      <c r="CP68" s="368" t="str">
        <f t="shared" si="39"/>
        <v>Thomaskali 10+15+3</v>
      </c>
      <c r="CQ68" s="531">
        <f t="shared" si="40"/>
        <v>107</v>
      </c>
      <c r="CS68" s="532"/>
      <c r="CV68" s="368" t="str">
        <f t="shared" si="43"/>
        <v>Erbse Korn (26 % RP2)</v>
      </c>
      <c r="CW68" s="505">
        <f t="shared" si="44"/>
        <v>56</v>
      </c>
      <c r="CX68" s="368">
        <f t="shared" si="45"/>
        <v>0</v>
      </c>
      <c r="CY68" s="505">
        <f t="shared" si="46"/>
        <v>58</v>
      </c>
    </row>
    <row r="69" spans="1:103" ht="18" customHeight="1" x14ac:dyDescent="0.2">
      <c r="A69" s="368"/>
      <c r="B69" s="369"/>
      <c r="C69" s="648">
        <f t="shared" si="51"/>
        <v>57</v>
      </c>
      <c r="D69" s="649"/>
      <c r="E69" s="650"/>
      <c r="F69" s="709"/>
      <c r="G69" s="710"/>
      <c r="H69" s="710"/>
      <c r="I69" s="710"/>
      <c r="J69" s="652"/>
      <c r="K69" s="710"/>
      <c r="L69" s="710"/>
      <c r="M69" s="710"/>
      <c r="N69" s="711"/>
      <c r="O69" s="711"/>
      <c r="P69" s="711"/>
      <c r="Q69" s="711">
        <v>4.0000000000000001E-3</v>
      </c>
      <c r="R69" s="710"/>
      <c r="S69" s="369"/>
      <c r="T69" s="654">
        <f t="shared" si="37"/>
        <v>109</v>
      </c>
      <c r="U69" s="496" t="s">
        <v>416</v>
      </c>
      <c r="V69" s="497"/>
      <c r="W69" s="497">
        <v>11</v>
      </c>
      <c r="X69" s="497">
        <v>11</v>
      </c>
      <c r="Y69" s="497">
        <v>4</v>
      </c>
      <c r="Z69" s="497">
        <v>2</v>
      </c>
      <c r="AA69" s="497">
        <v>25</v>
      </c>
      <c r="AB69" s="512"/>
      <c r="AC69" s="369"/>
      <c r="AE69" s="369"/>
      <c r="AF69" s="369"/>
      <c r="AG69" s="369"/>
      <c r="AH69" s="369"/>
      <c r="AI69" s="369"/>
      <c r="AJ69" s="369"/>
      <c r="AK69" s="369"/>
      <c r="AL69" s="369"/>
      <c r="AM69" s="369"/>
      <c r="AN69" s="369"/>
      <c r="AO69" s="369"/>
      <c r="AP69" s="369"/>
      <c r="AQ69" s="369"/>
      <c r="AR69" s="369"/>
      <c r="AS69" s="369"/>
      <c r="AT69" s="369"/>
      <c r="AU69" s="369"/>
      <c r="AV69" s="369"/>
      <c r="AW69" s="495">
        <f t="shared" si="52"/>
        <v>58</v>
      </c>
      <c r="AX69" s="496" t="str">
        <f>CONCATENATE("Erbse ",AY69)</f>
        <v>Erbse Korn + Stroh3 (26 % RP2)</v>
      </c>
      <c r="AY69" s="522" t="s">
        <v>417</v>
      </c>
      <c r="AZ69" s="497" t="s">
        <v>189</v>
      </c>
      <c r="BA69" s="497" t="s">
        <v>398</v>
      </c>
      <c r="BB69" s="523">
        <v>5.0999999999999996</v>
      </c>
      <c r="BC69" s="524">
        <v>1.4</v>
      </c>
      <c r="BD69" s="525">
        <v>0.61</v>
      </c>
      <c r="BE69" s="526"/>
      <c r="BF69" s="493"/>
      <c r="BG69" s="493"/>
      <c r="BH69" s="494"/>
      <c r="BI69" s="369"/>
      <c r="BJ69" s="593">
        <f t="shared" si="27"/>
        <v>60</v>
      </c>
      <c r="BK69" s="470"/>
      <c r="BL69" s="594"/>
      <c r="BM69" s="594"/>
      <c r="BN69" s="594"/>
      <c r="BO69" s="594"/>
      <c r="BP69" s="594"/>
      <c r="BQ69" s="594"/>
      <c r="BR69" s="369"/>
      <c r="BS69" s="369"/>
      <c r="BT69" s="369"/>
      <c r="BU69" s="369"/>
      <c r="BV69" s="369"/>
      <c r="BW69" s="369"/>
      <c r="BX69" s="369"/>
      <c r="BY69" s="369"/>
      <c r="BZ69" s="369"/>
      <c r="CB69" s="369"/>
      <c r="CC69" s="369"/>
      <c r="CD69" s="369"/>
      <c r="CE69" s="369"/>
      <c r="CF69" s="369"/>
      <c r="CG69" s="369"/>
      <c r="CH69" s="369"/>
      <c r="CI69" s="369"/>
      <c r="CJ69" s="369"/>
      <c r="CN69" s="368">
        <f t="shared" si="35"/>
        <v>0</v>
      </c>
      <c r="CO69" s="505">
        <f t="shared" si="36"/>
        <v>57</v>
      </c>
      <c r="CP69" s="368" t="str">
        <f t="shared" si="39"/>
        <v>Thomaskali 8+15+6</v>
      </c>
      <c r="CQ69" s="531">
        <f t="shared" si="40"/>
        <v>108</v>
      </c>
      <c r="CS69" s="532"/>
      <c r="CV69" s="368" t="str">
        <f t="shared" si="43"/>
        <v>Erbse Stroh (26 % RP2)</v>
      </c>
      <c r="CW69" s="505">
        <f t="shared" si="44"/>
        <v>57</v>
      </c>
      <c r="CX69" s="368">
        <f t="shared" si="45"/>
        <v>0</v>
      </c>
      <c r="CY69" s="505">
        <f t="shared" si="46"/>
        <v>59</v>
      </c>
    </row>
    <row r="70" spans="1:103" ht="18" customHeight="1" x14ac:dyDescent="0.2">
      <c r="A70" s="368"/>
      <c r="B70" s="369"/>
      <c r="C70" s="648">
        <f t="shared" si="51"/>
        <v>58</v>
      </c>
      <c r="D70" s="649"/>
      <c r="E70" s="650"/>
      <c r="F70" s="709"/>
      <c r="G70" s="710"/>
      <c r="H70" s="710"/>
      <c r="I70" s="710"/>
      <c r="J70" s="652"/>
      <c r="K70" s="710"/>
      <c r="L70" s="710"/>
      <c r="M70" s="710"/>
      <c r="N70" s="711"/>
      <c r="O70" s="711"/>
      <c r="P70" s="711"/>
      <c r="Q70" s="711">
        <v>4.0000000000000001E-3</v>
      </c>
      <c r="R70" s="710"/>
      <c r="S70" s="369"/>
      <c r="T70" s="654">
        <f t="shared" si="37"/>
        <v>110</v>
      </c>
      <c r="U70" s="496" t="s">
        <v>418</v>
      </c>
      <c r="V70" s="497"/>
      <c r="W70" s="497">
        <v>14</v>
      </c>
      <c r="X70" s="497">
        <v>8</v>
      </c>
      <c r="Y70" s="497">
        <v>4</v>
      </c>
      <c r="Z70" s="497">
        <v>3</v>
      </c>
      <c r="AA70" s="497">
        <v>20</v>
      </c>
      <c r="AB70" s="512"/>
      <c r="AC70" s="369"/>
      <c r="AE70" s="369"/>
      <c r="AF70" s="369"/>
      <c r="AG70" s="369"/>
      <c r="AH70" s="369"/>
      <c r="AI70" s="369"/>
      <c r="AJ70" s="369"/>
      <c r="AK70" s="369"/>
      <c r="AL70" s="369"/>
      <c r="AM70" s="369"/>
      <c r="AN70" s="369"/>
      <c r="AO70" s="369"/>
      <c r="AP70" s="369"/>
      <c r="AQ70" s="369"/>
      <c r="AR70" s="369"/>
      <c r="AS70" s="369"/>
      <c r="AT70" s="369"/>
      <c r="AU70" s="369"/>
      <c r="AV70" s="369"/>
      <c r="AW70" s="495">
        <f t="shared" si="52"/>
        <v>59</v>
      </c>
      <c r="AX70" s="496" t="str">
        <f>CONCATENATE("Lupine blau ",AY70)</f>
        <v>Lupine blau Korn (33 % RP2)</v>
      </c>
      <c r="AY70" s="522" t="s">
        <v>419</v>
      </c>
      <c r="AZ70" s="497">
        <v>86</v>
      </c>
      <c r="BA70" s="497" t="s">
        <v>189</v>
      </c>
      <c r="BB70" s="523">
        <v>4.4800000000000004</v>
      </c>
      <c r="BC70" s="524">
        <v>1.02</v>
      </c>
      <c r="BD70" s="525">
        <v>0.45</v>
      </c>
      <c r="BE70" s="526"/>
      <c r="BF70" s="493"/>
      <c r="BG70" s="493"/>
      <c r="BH70" s="494"/>
      <c r="BI70" s="369"/>
      <c r="BJ70" s="369"/>
      <c r="BK70" s="369" t="s">
        <v>420</v>
      </c>
      <c r="BL70" s="369"/>
      <c r="BM70" s="369"/>
      <c r="BN70" s="369"/>
      <c r="BO70" s="369"/>
      <c r="BP70" s="369"/>
      <c r="BQ70" s="369"/>
      <c r="BR70" s="369"/>
      <c r="BS70" s="369"/>
      <c r="BT70" s="369"/>
      <c r="BU70" s="369"/>
      <c r="BV70" s="369"/>
      <c r="BW70" s="369"/>
      <c r="BX70" s="369"/>
      <c r="BY70" s="369"/>
      <c r="BZ70" s="369"/>
      <c r="CB70" s="369"/>
      <c r="CC70" s="369"/>
      <c r="CD70" s="369"/>
      <c r="CE70" s="369"/>
      <c r="CF70" s="369"/>
      <c r="CG70" s="369"/>
      <c r="CH70" s="369"/>
      <c r="CI70" s="369"/>
      <c r="CJ70" s="369"/>
      <c r="CN70" s="368">
        <f t="shared" si="35"/>
        <v>0</v>
      </c>
      <c r="CO70" s="505">
        <f t="shared" si="36"/>
        <v>58</v>
      </c>
      <c r="CP70" s="368" t="str">
        <f t="shared" si="39"/>
        <v>Thomaskali 11+11+4</v>
      </c>
      <c r="CQ70" s="531">
        <f t="shared" si="40"/>
        <v>109</v>
      </c>
      <c r="CS70" s="532"/>
      <c r="CV70" s="368" t="str">
        <f t="shared" si="43"/>
        <v>Erbse Korn + Stroh3 (26 % RP2)</v>
      </c>
      <c r="CW70" s="505">
        <f t="shared" si="44"/>
        <v>58</v>
      </c>
      <c r="CX70" s="368">
        <f t="shared" si="45"/>
        <v>0</v>
      </c>
      <c r="CY70" s="505">
        <f t="shared" si="46"/>
        <v>60</v>
      </c>
    </row>
    <row r="71" spans="1:103" ht="18" customHeight="1" x14ac:dyDescent="0.2">
      <c r="A71" s="368"/>
      <c r="B71" s="369"/>
      <c r="C71" s="648">
        <f t="shared" si="51"/>
        <v>59</v>
      </c>
      <c r="D71" s="649"/>
      <c r="E71" s="650"/>
      <c r="F71" s="709"/>
      <c r="G71" s="710"/>
      <c r="H71" s="710"/>
      <c r="I71" s="710"/>
      <c r="J71" s="652"/>
      <c r="K71" s="710"/>
      <c r="L71" s="710"/>
      <c r="M71" s="710"/>
      <c r="N71" s="711"/>
      <c r="O71" s="711"/>
      <c r="P71" s="711"/>
      <c r="Q71" s="711">
        <v>4.0000000000000001E-3</v>
      </c>
      <c r="R71" s="710">
        <v>0.6</v>
      </c>
      <c r="S71" s="369"/>
      <c r="T71" s="654">
        <f t="shared" si="37"/>
        <v>111</v>
      </c>
      <c r="U71" s="496" t="s">
        <v>421</v>
      </c>
      <c r="V71" s="497"/>
      <c r="W71" s="497">
        <v>12</v>
      </c>
      <c r="X71" s="497">
        <v>15</v>
      </c>
      <c r="Y71" s="497">
        <v>5</v>
      </c>
      <c r="Z71" s="497">
        <v>9</v>
      </c>
      <c r="AA71" s="497">
        <v>8</v>
      </c>
      <c r="AB71" s="512"/>
      <c r="AC71" s="369"/>
      <c r="AE71" s="369"/>
      <c r="AF71" s="369"/>
      <c r="AG71" s="369"/>
      <c r="AH71" s="369"/>
      <c r="AI71" s="369"/>
      <c r="AJ71" s="369"/>
      <c r="AK71" s="369"/>
      <c r="AL71" s="369"/>
      <c r="AM71" s="369"/>
      <c r="AN71" s="369"/>
      <c r="AO71" s="369"/>
      <c r="AP71" s="369"/>
      <c r="AQ71" s="369"/>
      <c r="AR71" s="369"/>
      <c r="AS71" s="369"/>
      <c r="AT71" s="369"/>
      <c r="AU71" s="369"/>
      <c r="AV71" s="369"/>
      <c r="AW71" s="495">
        <f t="shared" si="52"/>
        <v>60</v>
      </c>
      <c r="AX71" s="496" t="str">
        <f>CONCATENATE("Lupine blau ",AY71)</f>
        <v>Lupine blau Stroh (33 % RP2)</v>
      </c>
      <c r="AY71" s="522" t="s">
        <v>422</v>
      </c>
      <c r="AZ71" s="497">
        <v>86</v>
      </c>
      <c r="BA71" s="497" t="s">
        <v>189</v>
      </c>
      <c r="BB71" s="523">
        <v>1.5</v>
      </c>
      <c r="BC71" s="524">
        <v>0.3</v>
      </c>
      <c r="BD71" s="525">
        <v>0.13</v>
      </c>
      <c r="BE71" s="526"/>
      <c r="BF71" s="493"/>
      <c r="BG71" s="493"/>
      <c r="BH71" s="494"/>
      <c r="BI71" s="369"/>
      <c r="BJ71" s="369"/>
      <c r="BK71" s="369" t="s">
        <v>423</v>
      </c>
      <c r="BL71" s="369"/>
      <c r="BM71" s="369"/>
      <c r="BN71" s="369"/>
      <c r="BO71" s="369"/>
      <c r="BP71" s="369"/>
      <c r="BQ71" s="369"/>
      <c r="BR71" s="369"/>
      <c r="BS71" s="369"/>
      <c r="BT71" s="369"/>
      <c r="BU71" s="369"/>
      <c r="BV71" s="369"/>
      <c r="BW71" s="369"/>
      <c r="BX71" s="369"/>
      <c r="BY71" s="369"/>
      <c r="BZ71" s="369"/>
      <c r="CB71" s="369"/>
      <c r="CC71" s="369"/>
      <c r="CD71" s="369"/>
      <c r="CE71" s="369"/>
      <c r="CF71" s="369"/>
      <c r="CG71" s="369"/>
      <c r="CH71" s="369"/>
      <c r="CI71" s="369"/>
      <c r="CJ71" s="369"/>
      <c r="CN71" s="368">
        <f t="shared" si="35"/>
        <v>0</v>
      </c>
      <c r="CO71" s="505">
        <f t="shared" si="36"/>
        <v>59</v>
      </c>
      <c r="CP71" s="368" t="str">
        <f t="shared" si="39"/>
        <v>Thomaskali 14+8+4</v>
      </c>
      <c r="CQ71" s="531">
        <f t="shared" si="40"/>
        <v>110</v>
      </c>
      <c r="CS71" s="532"/>
      <c r="CV71" s="368" t="str">
        <f t="shared" si="43"/>
        <v>Lupine blau Korn (33 % RP2)</v>
      </c>
      <c r="CW71" s="505">
        <f t="shared" si="44"/>
        <v>59</v>
      </c>
    </row>
    <row r="72" spans="1:103" ht="18" customHeight="1" x14ac:dyDescent="0.2">
      <c r="A72" s="368"/>
      <c r="B72" s="369"/>
      <c r="C72" s="648">
        <f t="shared" si="51"/>
        <v>60</v>
      </c>
      <c r="D72" s="649"/>
      <c r="E72" s="650"/>
      <c r="F72" s="709"/>
      <c r="G72" s="710"/>
      <c r="H72" s="710"/>
      <c r="I72" s="710"/>
      <c r="J72" s="652"/>
      <c r="K72" s="710"/>
      <c r="L72" s="710"/>
      <c r="M72" s="710"/>
      <c r="N72" s="711"/>
      <c r="O72" s="711"/>
      <c r="P72" s="711"/>
      <c r="Q72" s="711">
        <v>4.0000000000000001E-3</v>
      </c>
      <c r="R72" s="710">
        <v>0.6</v>
      </c>
      <c r="S72" s="369"/>
      <c r="T72" s="654">
        <f t="shared" si="37"/>
        <v>112</v>
      </c>
      <c r="U72" s="496" t="s">
        <v>424</v>
      </c>
      <c r="V72" s="497"/>
      <c r="W72" s="497"/>
      <c r="X72" s="497"/>
      <c r="Y72" s="497"/>
      <c r="Z72" s="497"/>
      <c r="AA72" s="497">
        <v>47</v>
      </c>
      <c r="AB72" s="512"/>
      <c r="AC72" s="369"/>
      <c r="AE72" s="369"/>
      <c r="AF72" s="369"/>
      <c r="AG72" s="369"/>
      <c r="AH72" s="369"/>
      <c r="AI72" s="369"/>
      <c r="AJ72" s="369"/>
      <c r="AK72" s="369"/>
      <c r="AL72" s="369"/>
      <c r="AM72" s="369"/>
      <c r="AN72" s="369"/>
      <c r="AO72" s="369"/>
      <c r="AP72" s="369"/>
      <c r="AQ72" s="369"/>
      <c r="AR72" s="369"/>
      <c r="AS72" s="369"/>
      <c r="AT72" s="369"/>
      <c r="AU72" s="369"/>
      <c r="AV72" s="369"/>
      <c r="AW72" s="495">
        <f t="shared" si="52"/>
        <v>61</v>
      </c>
      <c r="AX72" s="496" t="str">
        <f>CONCATENATE("Lupine blau ",AY72)</f>
        <v>Lupine blau Korn + Stroh3 (33 % RP2)</v>
      </c>
      <c r="AY72" s="522" t="s">
        <v>425</v>
      </c>
      <c r="AZ72" s="497" t="s">
        <v>189</v>
      </c>
      <c r="BA72" s="497" t="s">
        <v>398</v>
      </c>
      <c r="BB72" s="523">
        <v>5.98</v>
      </c>
      <c r="BC72" s="524">
        <v>1.32</v>
      </c>
      <c r="BD72" s="525">
        <v>0.57999999999999996</v>
      </c>
      <c r="BE72" s="526"/>
      <c r="BF72" s="493"/>
      <c r="BG72" s="493"/>
      <c r="BH72" s="494"/>
      <c r="BI72" s="369"/>
      <c r="BJ72" s="369"/>
      <c r="BK72" s="369" t="s">
        <v>426</v>
      </c>
      <c r="BL72" s="369"/>
      <c r="BM72" s="369"/>
      <c r="BN72" s="369"/>
      <c r="BO72" s="369"/>
      <c r="BP72" s="369"/>
      <c r="BQ72" s="369"/>
      <c r="BR72" s="369"/>
      <c r="BS72" s="369"/>
      <c r="BT72" s="369"/>
      <c r="BU72" s="369"/>
      <c r="BV72" s="369"/>
      <c r="BW72" s="369"/>
      <c r="BX72" s="369"/>
      <c r="BY72" s="369"/>
      <c r="BZ72" s="369"/>
      <c r="CB72" s="369"/>
      <c r="CC72" s="369"/>
      <c r="CD72" s="369"/>
      <c r="CE72" s="369"/>
      <c r="CF72" s="369"/>
      <c r="CG72" s="369"/>
      <c r="CH72" s="369"/>
      <c r="CI72" s="369"/>
      <c r="CJ72" s="369"/>
      <c r="CN72" s="368">
        <f t="shared" si="35"/>
        <v>0</v>
      </c>
      <c r="CO72" s="505">
        <f t="shared" si="36"/>
        <v>60</v>
      </c>
      <c r="CP72" s="368" t="str">
        <f t="shared" si="39"/>
        <v>patent-PK 12+15+5</v>
      </c>
      <c r="CQ72" s="531">
        <f t="shared" si="40"/>
        <v>111</v>
      </c>
      <c r="CS72" s="532"/>
      <c r="CV72" s="368" t="str">
        <f t="shared" si="43"/>
        <v>Lupine blau Stroh (33 % RP2)</v>
      </c>
      <c r="CW72" s="505">
        <f t="shared" si="44"/>
        <v>60</v>
      </c>
    </row>
    <row r="73" spans="1:103" ht="18" customHeight="1" x14ac:dyDescent="0.2">
      <c r="A73" s="368"/>
      <c r="B73" s="369"/>
      <c r="C73" s="648">
        <f t="shared" si="51"/>
        <v>61</v>
      </c>
      <c r="D73" s="649"/>
      <c r="E73" s="650"/>
      <c r="F73" s="709"/>
      <c r="G73" s="710"/>
      <c r="H73" s="710"/>
      <c r="I73" s="710"/>
      <c r="J73" s="652"/>
      <c r="K73" s="710"/>
      <c r="L73" s="710"/>
      <c r="M73" s="710"/>
      <c r="N73" s="711"/>
      <c r="O73" s="711"/>
      <c r="P73" s="711"/>
      <c r="Q73" s="711">
        <v>4.0000000000000001E-3</v>
      </c>
      <c r="R73" s="710">
        <v>0.6</v>
      </c>
      <c r="S73" s="369"/>
      <c r="T73" s="654">
        <f t="shared" si="37"/>
        <v>113</v>
      </c>
      <c r="U73" s="496" t="s">
        <v>427</v>
      </c>
      <c r="V73" s="497"/>
      <c r="W73" s="497"/>
      <c r="X73" s="497"/>
      <c r="Y73" s="497">
        <v>17</v>
      </c>
      <c r="Z73" s="497"/>
      <c r="AA73" s="497">
        <v>51</v>
      </c>
      <c r="AB73" s="512"/>
      <c r="AC73" s="369"/>
      <c r="AE73" s="369"/>
      <c r="AF73" s="369"/>
      <c r="AG73" s="369"/>
      <c r="AH73" s="369"/>
      <c r="AI73" s="369"/>
      <c r="AJ73" s="369"/>
      <c r="AK73" s="369"/>
      <c r="AL73" s="369"/>
      <c r="AM73" s="369"/>
      <c r="AN73" s="369"/>
      <c r="AO73" s="369"/>
      <c r="AP73" s="369"/>
      <c r="AQ73" s="369"/>
      <c r="AR73" s="369"/>
      <c r="AS73" s="369"/>
      <c r="AT73" s="369"/>
      <c r="AU73" s="369"/>
      <c r="AV73" s="369"/>
      <c r="AW73" s="495">
        <f t="shared" si="52"/>
        <v>62</v>
      </c>
      <c r="AX73" s="496" t="str">
        <f>CONCATENATE("Sojabohne ",AY73)</f>
        <v>Sojabohne Korn (32 % RP2)</v>
      </c>
      <c r="AY73" s="522" t="s">
        <v>428</v>
      </c>
      <c r="AZ73" s="497">
        <v>86</v>
      </c>
      <c r="BA73" s="497" t="s">
        <v>189</v>
      </c>
      <c r="BB73" s="523">
        <v>4.4000000000000004</v>
      </c>
      <c r="BC73" s="524">
        <v>1.5</v>
      </c>
      <c r="BD73" s="525">
        <v>0.66</v>
      </c>
      <c r="BE73" s="526"/>
      <c r="BF73" s="493"/>
      <c r="BG73" s="493"/>
      <c r="BH73" s="494"/>
      <c r="BI73" s="369"/>
      <c r="BJ73" s="369"/>
      <c r="BK73" s="369"/>
      <c r="BL73" s="369"/>
      <c r="BM73" s="369"/>
      <c r="BN73" s="369"/>
      <c r="BO73" s="369"/>
      <c r="BP73" s="369"/>
      <c r="BQ73" s="369"/>
      <c r="BR73" s="369"/>
      <c r="BS73" s="369"/>
      <c r="BT73" s="369"/>
      <c r="BU73" s="369"/>
      <c r="BV73" s="369"/>
      <c r="BW73" s="369"/>
      <c r="BX73" s="369"/>
      <c r="BY73" s="369"/>
      <c r="BZ73" s="369"/>
      <c r="CB73" s="369"/>
      <c r="CC73" s="369"/>
      <c r="CD73" s="369"/>
      <c r="CE73" s="369"/>
      <c r="CF73" s="369"/>
      <c r="CG73" s="369"/>
      <c r="CH73" s="369"/>
      <c r="CI73" s="369"/>
      <c r="CJ73" s="369"/>
      <c r="CN73" s="368">
        <f t="shared" si="35"/>
        <v>0</v>
      </c>
      <c r="CO73" s="505">
        <f t="shared" si="36"/>
        <v>61</v>
      </c>
      <c r="CP73" s="368" t="str">
        <f t="shared" si="39"/>
        <v>Kohlensaurer Kalk 85</v>
      </c>
      <c r="CQ73" s="531">
        <f t="shared" si="40"/>
        <v>112</v>
      </c>
      <c r="CS73" s="532"/>
      <c r="CV73" s="368" t="str">
        <f t="shared" si="43"/>
        <v>Lupine blau Korn + Stroh3 (33 % RP2)</v>
      </c>
      <c r="CW73" s="505">
        <f t="shared" si="44"/>
        <v>61</v>
      </c>
    </row>
    <row r="74" spans="1:103" ht="18" customHeight="1" x14ac:dyDescent="0.2">
      <c r="A74" s="368"/>
      <c r="B74" s="369"/>
      <c r="C74" s="648">
        <f t="shared" si="51"/>
        <v>62</v>
      </c>
      <c r="D74" s="649"/>
      <c r="E74" s="650"/>
      <c r="F74" s="709"/>
      <c r="G74" s="710"/>
      <c r="H74" s="710"/>
      <c r="I74" s="710"/>
      <c r="J74" s="652"/>
      <c r="K74" s="710"/>
      <c r="L74" s="710"/>
      <c r="M74" s="710"/>
      <c r="N74" s="711"/>
      <c r="O74" s="711"/>
      <c r="P74" s="711"/>
      <c r="Q74" s="711">
        <v>4.0000000000000001E-3</v>
      </c>
      <c r="R74" s="710">
        <v>0.6</v>
      </c>
      <c r="S74" s="369"/>
      <c r="T74" s="654">
        <f t="shared" si="37"/>
        <v>114</v>
      </c>
      <c r="U74" s="496" t="s">
        <v>429</v>
      </c>
      <c r="V74" s="497"/>
      <c r="W74" s="497"/>
      <c r="X74" s="497"/>
      <c r="Y74" s="497"/>
      <c r="Z74" s="497"/>
      <c r="AA74" s="497">
        <v>85</v>
      </c>
      <c r="AB74" s="512"/>
      <c r="AC74" s="369"/>
      <c r="AE74" s="369"/>
      <c r="AF74" s="369"/>
      <c r="AG74" s="369"/>
      <c r="AH74" s="369"/>
      <c r="AI74" s="369"/>
      <c r="AJ74" s="369"/>
      <c r="AK74" s="369"/>
      <c r="AL74" s="369"/>
      <c r="AM74" s="369"/>
      <c r="AN74" s="369"/>
      <c r="AO74" s="369"/>
      <c r="AP74" s="369"/>
      <c r="AQ74" s="369"/>
      <c r="AR74" s="369"/>
      <c r="AS74" s="369"/>
      <c r="AT74" s="369"/>
      <c r="AU74" s="369"/>
      <c r="AV74" s="369"/>
      <c r="AW74" s="495">
        <f t="shared" si="52"/>
        <v>63</v>
      </c>
      <c r="AX74" s="496" t="str">
        <f>CONCATENATE("Sojabohne ",AY74)</f>
        <v>Sojabohne Stroh (32 % RP2)</v>
      </c>
      <c r="AY74" s="522" t="s">
        <v>430</v>
      </c>
      <c r="AZ74" s="497">
        <v>86</v>
      </c>
      <c r="BA74" s="497" t="s">
        <v>189</v>
      </c>
      <c r="BB74" s="523">
        <v>1.5</v>
      </c>
      <c r="BC74" s="524">
        <v>0.3</v>
      </c>
      <c r="BD74" s="525">
        <v>0.13</v>
      </c>
      <c r="BE74" s="526"/>
      <c r="BF74" s="493"/>
      <c r="BG74" s="493"/>
      <c r="BH74" s="494"/>
      <c r="BI74" s="369"/>
      <c r="BJ74" s="369"/>
      <c r="BK74" s="369"/>
      <c r="BL74" s="369"/>
      <c r="BM74" s="369"/>
      <c r="BN74" s="369"/>
      <c r="BO74" s="369"/>
      <c r="BP74" s="369"/>
      <c r="BQ74" s="369"/>
      <c r="BR74" s="369"/>
      <c r="BS74" s="369"/>
      <c r="BT74" s="369"/>
      <c r="BU74" s="369"/>
      <c r="BV74" s="369"/>
      <c r="BW74" s="369"/>
      <c r="BX74" s="369"/>
      <c r="BY74" s="369"/>
      <c r="BZ74" s="369"/>
      <c r="CB74" s="369"/>
      <c r="CC74" s="369"/>
      <c r="CD74" s="369"/>
      <c r="CE74" s="369"/>
      <c r="CF74" s="369"/>
      <c r="CG74" s="369"/>
      <c r="CH74" s="369"/>
      <c r="CI74" s="369"/>
      <c r="CJ74" s="369"/>
      <c r="CN74" s="368">
        <f t="shared" ref="CN74:CN105" si="53">D74</f>
        <v>0</v>
      </c>
      <c r="CO74" s="505">
        <f t="shared" ref="CO74:CO105" si="54">C74</f>
        <v>62</v>
      </c>
      <c r="CP74" s="368" t="str">
        <f t="shared" si="39"/>
        <v>Kohlensaurer Kalk 50+35</v>
      </c>
      <c r="CQ74" s="531">
        <f t="shared" si="40"/>
        <v>113</v>
      </c>
      <c r="CS74" s="532"/>
      <c r="CV74" s="368" t="str">
        <f t="shared" si="43"/>
        <v>Sojabohne Korn (32 % RP2)</v>
      </c>
      <c r="CW74" s="505">
        <f t="shared" si="44"/>
        <v>62</v>
      </c>
    </row>
    <row r="75" spans="1:103" ht="18" customHeight="1" x14ac:dyDescent="0.2">
      <c r="A75" s="368"/>
      <c r="B75" s="369"/>
      <c r="C75" s="648">
        <f t="shared" si="51"/>
        <v>63</v>
      </c>
      <c r="D75" s="649"/>
      <c r="E75" s="650"/>
      <c r="F75" s="709"/>
      <c r="G75" s="710"/>
      <c r="H75" s="710"/>
      <c r="I75" s="710"/>
      <c r="J75" s="652"/>
      <c r="K75" s="710"/>
      <c r="L75" s="710"/>
      <c r="M75" s="710"/>
      <c r="N75" s="711"/>
      <c r="O75" s="711"/>
      <c r="P75" s="711"/>
      <c r="Q75" s="711">
        <v>4.0000000000000001E-3</v>
      </c>
      <c r="R75" s="710">
        <v>0.6</v>
      </c>
      <c r="S75" s="369"/>
      <c r="T75" s="654">
        <f t="shared" ref="T75:T85" si="55">T74+1</f>
        <v>115</v>
      </c>
      <c r="U75" s="496" t="s">
        <v>431</v>
      </c>
      <c r="V75" s="497"/>
      <c r="W75" s="497"/>
      <c r="X75" s="497"/>
      <c r="Y75" s="497">
        <v>2</v>
      </c>
      <c r="Z75" s="497"/>
      <c r="AA75" s="497">
        <v>50</v>
      </c>
      <c r="AB75" s="512"/>
      <c r="AC75" s="369"/>
      <c r="AE75" s="369"/>
      <c r="AF75" s="369"/>
      <c r="AG75" s="369"/>
      <c r="AH75" s="369"/>
      <c r="AI75" s="369"/>
      <c r="AJ75" s="369"/>
      <c r="AK75" s="369"/>
      <c r="AL75" s="369"/>
      <c r="AM75" s="369"/>
      <c r="AN75" s="369"/>
      <c r="AO75" s="369"/>
      <c r="AP75" s="369"/>
      <c r="AQ75" s="369"/>
      <c r="AR75" s="369"/>
      <c r="AS75" s="369"/>
      <c r="AT75" s="369"/>
      <c r="AU75" s="369"/>
      <c r="AV75" s="369"/>
      <c r="AW75" s="495">
        <f t="shared" si="52"/>
        <v>64</v>
      </c>
      <c r="AX75" s="554" t="str">
        <f>CONCATENATE("Sojabohne ",AY75)</f>
        <v>Sojabohne Korn + Stroh3 (32 % RP2)</v>
      </c>
      <c r="AY75" s="555" t="s">
        <v>432</v>
      </c>
      <c r="AZ75" s="556" t="s">
        <v>189</v>
      </c>
      <c r="BA75" s="556" t="s">
        <v>398</v>
      </c>
      <c r="BB75" s="557">
        <v>5.9</v>
      </c>
      <c r="BC75" s="558">
        <v>1.8</v>
      </c>
      <c r="BD75" s="559">
        <v>0.79</v>
      </c>
      <c r="BE75" s="526"/>
      <c r="BF75" s="493"/>
      <c r="BG75" s="493"/>
      <c r="BH75" s="494"/>
      <c r="BI75" s="369"/>
      <c r="BJ75" s="369"/>
      <c r="BK75" s="369"/>
      <c r="BL75" s="369"/>
      <c r="BM75" s="369"/>
      <c r="BN75" s="369"/>
      <c r="BO75" s="369"/>
      <c r="BP75" s="369"/>
      <c r="BQ75" s="369"/>
      <c r="BR75" s="369"/>
      <c r="BS75" s="369"/>
      <c r="BT75" s="369"/>
      <c r="BU75" s="369"/>
      <c r="BV75" s="369"/>
      <c r="BW75" s="369"/>
      <c r="BX75" s="369"/>
      <c r="BY75" s="369"/>
      <c r="BZ75" s="369"/>
      <c r="CB75" s="369"/>
      <c r="CC75" s="369"/>
      <c r="CD75" s="369"/>
      <c r="CE75" s="369"/>
      <c r="CF75" s="369"/>
      <c r="CG75" s="369"/>
      <c r="CH75" s="369"/>
      <c r="CI75" s="369"/>
      <c r="CJ75" s="369"/>
      <c r="CN75" s="368">
        <f t="shared" si="53"/>
        <v>0</v>
      </c>
      <c r="CO75" s="505">
        <f t="shared" si="54"/>
        <v>63</v>
      </c>
      <c r="CP75" s="368" t="str">
        <f t="shared" ref="CP75:CP85" si="56">U74</f>
        <v>Branntkalk 85</v>
      </c>
      <c r="CQ75" s="531">
        <f t="shared" ref="CQ75:CQ85" si="57">T74</f>
        <v>114</v>
      </c>
      <c r="CS75" s="532"/>
      <c r="CV75" s="368" t="str">
        <f t="shared" ref="CV75:CV106" si="58">AX74</f>
        <v>Sojabohne Stroh (32 % RP2)</v>
      </c>
      <c r="CW75" s="505">
        <f t="shared" ref="CW75:CW106" si="59">AW74</f>
        <v>63</v>
      </c>
    </row>
    <row r="76" spans="1:103" ht="18" customHeight="1" x14ac:dyDescent="0.2">
      <c r="A76" s="368"/>
      <c r="B76" s="369"/>
      <c r="C76" s="648">
        <f t="shared" si="51"/>
        <v>64</v>
      </c>
      <c r="D76" s="649"/>
      <c r="E76" s="650"/>
      <c r="F76" s="709"/>
      <c r="G76" s="710"/>
      <c r="H76" s="710"/>
      <c r="I76" s="710"/>
      <c r="J76" s="652"/>
      <c r="K76" s="710"/>
      <c r="L76" s="710"/>
      <c r="M76" s="710"/>
      <c r="N76" s="711"/>
      <c r="O76" s="711"/>
      <c r="P76" s="711"/>
      <c r="Q76" s="711">
        <v>4.0000000000000001E-3</v>
      </c>
      <c r="R76" s="710">
        <v>0.6</v>
      </c>
      <c r="S76" s="369"/>
      <c r="T76" s="654">
        <f t="shared" si="55"/>
        <v>116</v>
      </c>
      <c r="U76" s="496" t="s">
        <v>433</v>
      </c>
      <c r="V76" s="497"/>
      <c r="W76" s="497"/>
      <c r="X76" s="497"/>
      <c r="Y76" s="497">
        <v>2</v>
      </c>
      <c r="Z76" s="497"/>
      <c r="AA76" s="497">
        <v>43</v>
      </c>
      <c r="AB76" s="512"/>
      <c r="AC76" s="369"/>
      <c r="AE76" s="369"/>
      <c r="AF76" s="369"/>
      <c r="AG76" s="369"/>
      <c r="AH76" s="369"/>
      <c r="AI76" s="369"/>
      <c r="AJ76" s="369"/>
      <c r="AK76" s="369"/>
      <c r="AL76" s="369"/>
      <c r="AM76" s="369"/>
      <c r="AN76" s="369"/>
      <c r="AO76" s="369"/>
      <c r="AP76" s="369"/>
      <c r="AQ76" s="369"/>
      <c r="AR76" s="369"/>
      <c r="AS76" s="369"/>
      <c r="AT76" s="369"/>
      <c r="AU76" s="369"/>
      <c r="AV76" s="369"/>
      <c r="AW76" s="495">
        <f t="shared" si="52"/>
        <v>65</v>
      </c>
      <c r="AX76" s="564" t="s">
        <v>434</v>
      </c>
      <c r="AY76" s="565"/>
      <c r="AZ76" s="566"/>
      <c r="BA76" s="566"/>
      <c r="BB76" s="567"/>
      <c r="BC76" s="568"/>
      <c r="BD76" s="569"/>
      <c r="BE76" s="526"/>
      <c r="BF76" s="493"/>
      <c r="BG76" s="493"/>
      <c r="BH76" s="494"/>
      <c r="BI76" s="369"/>
      <c r="BJ76" s="369"/>
      <c r="BK76" s="369"/>
      <c r="BL76" s="369"/>
      <c r="BM76" s="369"/>
      <c r="BN76" s="369"/>
      <c r="BO76" s="369"/>
      <c r="BP76" s="369"/>
      <c r="BQ76" s="369"/>
      <c r="BR76" s="369"/>
      <c r="BS76" s="369"/>
      <c r="BT76" s="369"/>
      <c r="BU76" s="369"/>
      <c r="BV76" s="369"/>
      <c r="BW76" s="369"/>
      <c r="BX76" s="369"/>
      <c r="BY76" s="369"/>
      <c r="BZ76" s="369"/>
      <c r="CB76" s="369"/>
      <c r="CC76" s="369"/>
      <c r="CD76" s="369"/>
      <c r="CE76" s="369"/>
      <c r="CF76" s="369"/>
      <c r="CG76" s="369"/>
      <c r="CH76" s="369"/>
      <c r="CI76" s="369"/>
      <c r="CJ76" s="369"/>
      <c r="CN76" s="368">
        <f t="shared" si="53"/>
        <v>0</v>
      </c>
      <c r="CO76" s="505">
        <f t="shared" si="54"/>
        <v>64</v>
      </c>
      <c r="CP76" s="368" t="str">
        <f t="shared" si="56"/>
        <v>Konverterkalk</v>
      </c>
      <c r="CQ76" s="531">
        <f t="shared" si="57"/>
        <v>115</v>
      </c>
      <c r="CS76" s="532"/>
      <c r="CV76" s="368" t="str">
        <f t="shared" si="58"/>
        <v>Sojabohne Korn + Stroh3 (32 % RP2)</v>
      </c>
      <c r="CW76" s="505">
        <f t="shared" si="59"/>
        <v>64</v>
      </c>
    </row>
    <row r="77" spans="1:103" ht="18" customHeight="1" x14ac:dyDescent="0.2">
      <c r="A77" s="368"/>
      <c r="B77" s="369"/>
      <c r="C77" s="648">
        <f t="shared" si="51"/>
        <v>65</v>
      </c>
      <c r="D77" s="649"/>
      <c r="E77" s="650"/>
      <c r="F77" s="709"/>
      <c r="G77" s="710"/>
      <c r="H77" s="710"/>
      <c r="I77" s="710"/>
      <c r="J77" s="652">
        <f>I77-(I77*$I$57/100)</f>
        <v>0</v>
      </c>
      <c r="K77" s="710"/>
      <c r="L77" s="710"/>
      <c r="M77" s="710"/>
      <c r="N77" s="711"/>
      <c r="O77" s="711"/>
      <c r="P77" s="711"/>
      <c r="Q77" s="711"/>
      <c r="R77" s="710"/>
      <c r="S77" s="369"/>
      <c r="T77" s="654">
        <f t="shared" si="55"/>
        <v>117</v>
      </c>
      <c r="U77" s="496" t="s">
        <v>435</v>
      </c>
      <c r="V77" s="497"/>
      <c r="W77" s="497"/>
      <c r="X77" s="497"/>
      <c r="Y77" s="497">
        <v>7</v>
      </c>
      <c r="Z77" s="497">
        <v>1</v>
      </c>
      <c r="AA77" s="497">
        <v>47</v>
      </c>
      <c r="AB77" s="512"/>
      <c r="AC77" s="369"/>
      <c r="AE77" s="369"/>
      <c r="AF77" s="369"/>
      <c r="AG77" s="369"/>
      <c r="AH77" s="369"/>
      <c r="AI77" s="369"/>
      <c r="AJ77" s="369"/>
      <c r="AK77" s="369"/>
      <c r="AL77" s="369"/>
      <c r="AM77" s="369"/>
      <c r="AN77" s="369"/>
      <c r="AO77" s="369"/>
      <c r="AP77" s="369"/>
      <c r="AQ77" s="369"/>
      <c r="AR77" s="369"/>
      <c r="AS77" s="369"/>
      <c r="AT77" s="369"/>
      <c r="AU77" s="369"/>
      <c r="AV77" s="369"/>
      <c r="AW77" s="495">
        <f t="shared" si="52"/>
        <v>66</v>
      </c>
      <c r="AX77" s="496" t="str">
        <f>CONCATENATE("Raps ",AY77)</f>
        <v>Raps Korn (23 % RP2)</v>
      </c>
      <c r="AY77" s="522" t="s">
        <v>436</v>
      </c>
      <c r="AZ77" s="497">
        <v>91</v>
      </c>
      <c r="BA77" s="497" t="s">
        <v>189</v>
      </c>
      <c r="BB77" s="523">
        <v>3.35</v>
      </c>
      <c r="BC77" s="524">
        <v>1.8</v>
      </c>
      <c r="BD77" s="525">
        <v>0.78</v>
      </c>
      <c r="BE77" s="526"/>
      <c r="BF77" s="493"/>
      <c r="BG77" s="493"/>
      <c r="BH77" s="494"/>
      <c r="BI77" s="369"/>
      <c r="BJ77" s="369"/>
      <c r="BK77" s="369"/>
      <c r="BL77" s="369"/>
      <c r="BM77" s="369"/>
      <c r="BN77" s="369"/>
      <c r="BO77" s="369"/>
      <c r="BP77" s="369"/>
      <c r="BQ77" s="369"/>
      <c r="BR77" s="369"/>
      <c r="BS77" s="369"/>
      <c r="BT77" s="369"/>
      <c r="BU77" s="369"/>
      <c r="BV77" s="369"/>
      <c r="BW77" s="369"/>
      <c r="BX77" s="369"/>
      <c r="BY77" s="369"/>
      <c r="BZ77" s="369"/>
      <c r="CB77" s="369"/>
      <c r="CC77" s="369"/>
      <c r="CD77" s="369"/>
      <c r="CE77" s="369"/>
      <c r="CF77" s="369"/>
      <c r="CG77" s="369"/>
      <c r="CH77" s="369"/>
      <c r="CI77" s="369"/>
      <c r="CJ77" s="369"/>
      <c r="CN77" s="368">
        <f t="shared" si="53"/>
        <v>0</v>
      </c>
      <c r="CO77" s="505">
        <f t="shared" si="54"/>
        <v>65</v>
      </c>
      <c r="CP77" s="368" t="str">
        <f t="shared" si="56"/>
        <v>Konverterkalk feucht körnig</v>
      </c>
      <c r="CQ77" s="531">
        <f t="shared" si="57"/>
        <v>116</v>
      </c>
      <c r="CS77" s="532"/>
      <c r="CV77" s="368" t="str">
        <f t="shared" si="58"/>
        <v>Ölfrüchte</v>
      </c>
      <c r="CW77" s="505">
        <f t="shared" si="59"/>
        <v>65</v>
      </c>
    </row>
    <row r="78" spans="1:103" ht="18" customHeight="1" x14ac:dyDescent="0.2">
      <c r="A78" s="368"/>
      <c r="B78" s="369"/>
      <c r="C78" s="648">
        <f t="shared" si="51"/>
        <v>66</v>
      </c>
      <c r="D78" s="649"/>
      <c r="E78" s="650"/>
      <c r="F78" s="709"/>
      <c r="G78" s="710"/>
      <c r="H78" s="710"/>
      <c r="I78" s="710"/>
      <c r="J78" s="652"/>
      <c r="K78" s="710"/>
      <c r="L78" s="710"/>
      <c r="M78" s="710"/>
      <c r="N78" s="711"/>
      <c r="O78" s="711"/>
      <c r="P78" s="711"/>
      <c r="Q78" s="711">
        <v>4.0000000000000001E-3</v>
      </c>
      <c r="R78" s="710">
        <v>4</v>
      </c>
      <c r="S78" s="369"/>
      <c r="T78" s="654">
        <f t="shared" si="55"/>
        <v>118</v>
      </c>
      <c r="U78" s="496" t="s">
        <v>437</v>
      </c>
      <c r="V78" s="497"/>
      <c r="W78" s="497"/>
      <c r="X78" s="497"/>
      <c r="Y78" s="497">
        <v>9</v>
      </c>
      <c r="Z78" s="497">
        <v>1</v>
      </c>
      <c r="AA78" s="497">
        <v>47</v>
      </c>
      <c r="AB78" s="512"/>
      <c r="AC78" s="369"/>
      <c r="AE78" s="369"/>
      <c r="AF78" s="369"/>
      <c r="AG78" s="369"/>
      <c r="AH78" s="369"/>
      <c r="AI78" s="369"/>
      <c r="AJ78" s="369"/>
      <c r="AK78" s="369"/>
      <c r="AL78" s="369"/>
      <c r="AM78" s="369"/>
      <c r="AN78" s="369"/>
      <c r="AO78" s="369"/>
      <c r="AP78" s="369"/>
      <c r="AQ78" s="369"/>
      <c r="AR78" s="369"/>
      <c r="AS78" s="369"/>
      <c r="AT78" s="369"/>
      <c r="AU78" s="369"/>
      <c r="AV78" s="369"/>
      <c r="AW78" s="495">
        <f t="shared" si="52"/>
        <v>67</v>
      </c>
      <c r="AX78" s="496" t="str">
        <f>CONCATENATE("Raps ",AY78)</f>
        <v>Raps Stroh (23 % RP2)</v>
      </c>
      <c r="AY78" s="522" t="s">
        <v>438</v>
      </c>
      <c r="AZ78" s="497">
        <v>86</v>
      </c>
      <c r="BA78" s="497" t="s">
        <v>189</v>
      </c>
      <c r="BB78" s="523">
        <v>0.7</v>
      </c>
      <c r="BC78" s="524">
        <v>0.4</v>
      </c>
      <c r="BD78" s="525">
        <v>0.17</v>
      </c>
      <c r="BE78" s="526"/>
      <c r="BF78" s="493"/>
      <c r="BG78" s="493"/>
      <c r="BH78" s="494"/>
      <c r="BI78" s="369"/>
      <c r="BJ78" s="369"/>
      <c r="BK78" s="369"/>
      <c r="BL78" s="369"/>
      <c r="BM78" s="369"/>
      <c r="BN78" s="369"/>
      <c r="BO78" s="369"/>
      <c r="BP78" s="369"/>
      <c r="BQ78" s="369"/>
      <c r="BR78" s="369"/>
      <c r="BS78" s="369"/>
      <c r="BT78" s="369"/>
      <c r="BU78" s="369"/>
      <c r="BV78" s="369"/>
      <c r="BW78" s="369"/>
      <c r="BX78" s="369"/>
      <c r="BY78" s="369"/>
      <c r="BZ78" s="369"/>
      <c r="CB78" s="369"/>
      <c r="CC78" s="369"/>
      <c r="CD78" s="369"/>
      <c r="CE78" s="369"/>
      <c r="CF78" s="369"/>
      <c r="CG78" s="369"/>
      <c r="CH78" s="369"/>
      <c r="CI78" s="369"/>
      <c r="CJ78" s="369"/>
      <c r="CN78" s="368">
        <f t="shared" si="53"/>
        <v>0</v>
      </c>
      <c r="CO78" s="505">
        <f t="shared" si="54"/>
        <v>66</v>
      </c>
      <c r="CP78" s="368" t="str">
        <f t="shared" si="56"/>
        <v>Hüttenkalk fein</v>
      </c>
      <c r="CQ78" s="531">
        <f t="shared" si="57"/>
        <v>117</v>
      </c>
      <c r="CS78" s="532"/>
      <c r="CV78" s="368" t="str">
        <f t="shared" si="58"/>
        <v>Raps Korn (23 % RP2)</v>
      </c>
      <c r="CW78" s="505">
        <f t="shared" si="59"/>
        <v>66</v>
      </c>
    </row>
    <row r="79" spans="1:103" ht="18" customHeight="1" x14ac:dyDescent="0.2">
      <c r="A79" s="368"/>
      <c r="B79" s="369"/>
      <c r="C79" s="648">
        <f t="shared" si="51"/>
        <v>67</v>
      </c>
      <c r="D79" s="649"/>
      <c r="E79" s="650"/>
      <c r="F79" s="709"/>
      <c r="G79" s="710"/>
      <c r="H79" s="710"/>
      <c r="I79" s="710"/>
      <c r="J79" s="652"/>
      <c r="K79" s="710"/>
      <c r="L79" s="710"/>
      <c r="M79" s="710"/>
      <c r="N79" s="711"/>
      <c r="O79" s="711"/>
      <c r="P79" s="711"/>
      <c r="Q79" s="711">
        <v>4.0000000000000001E-3</v>
      </c>
      <c r="R79" s="710">
        <v>4</v>
      </c>
      <c r="S79" s="369"/>
      <c r="T79" s="654">
        <f t="shared" si="55"/>
        <v>119</v>
      </c>
      <c r="U79" s="496" t="s">
        <v>439</v>
      </c>
      <c r="V79" s="497"/>
      <c r="W79" s="497">
        <v>4</v>
      </c>
      <c r="X79" s="497"/>
      <c r="Y79" s="497">
        <v>3</v>
      </c>
      <c r="Z79" s="497"/>
      <c r="AA79" s="497">
        <v>45</v>
      </c>
      <c r="AB79" s="512"/>
      <c r="AC79" s="369"/>
      <c r="AE79" s="369"/>
      <c r="AF79" s="369"/>
      <c r="AG79" s="369"/>
      <c r="AH79" s="369"/>
      <c r="AI79" s="369"/>
      <c r="AJ79" s="369"/>
      <c r="AK79" s="369"/>
      <c r="AL79" s="369"/>
      <c r="AM79" s="369"/>
      <c r="AN79" s="369"/>
      <c r="AO79" s="369"/>
      <c r="AP79" s="369"/>
      <c r="AQ79" s="369"/>
      <c r="AR79" s="369"/>
      <c r="AS79" s="369"/>
      <c r="AT79" s="369"/>
      <c r="AU79" s="369"/>
      <c r="AV79" s="369"/>
      <c r="AW79" s="495">
        <f t="shared" si="52"/>
        <v>68</v>
      </c>
      <c r="AX79" s="496" t="str">
        <f>CONCATENATE("Raps ",AY79)</f>
        <v>Raps Korn + Stroh3 (23 % RP2)</v>
      </c>
      <c r="AY79" s="522" t="s">
        <v>440</v>
      </c>
      <c r="AZ79" s="497" t="s">
        <v>189</v>
      </c>
      <c r="BA79" s="497">
        <v>1.7</v>
      </c>
      <c r="BB79" s="523">
        <v>4.54</v>
      </c>
      <c r="BC79" s="524">
        <v>2.48</v>
      </c>
      <c r="BD79" s="525">
        <v>1.07</v>
      </c>
      <c r="BE79" s="526"/>
      <c r="BF79" s="493"/>
      <c r="BG79" s="493"/>
      <c r="BH79" s="494"/>
      <c r="BI79" s="369"/>
      <c r="BJ79" s="369"/>
      <c r="BK79" s="369"/>
      <c r="BL79" s="369"/>
      <c r="BM79" s="369"/>
      <c r="BN79" s="369"/>
      <c r="BO79" s="369"/>
      <c r="BP79" s="369"/>
      <c r="BQ79" s="369"/>
      <c r="BR79" s="369"/>
      <c r="BT79" s="369"/>
      <c r="BU79" s="369"/>
      <c r="BV79" s="369"/>
      <c r="BW79" s="369"/>
      <c r="BX79" s="369"/>
      <c r="BY79" s="369"/>
      <c r="BZ79" s="369"/>
      <c r="CB79" s="369"/>
      <c r="CC79" s="369"/>
      <c r="CD79" s="369"/>
      <c r="CE79" s="369"/>
      <c r="CF79" s="369"/>
      <c r="CG79" s="369"/>
      <c r="CH79" s="369"/>
      <c r="CI79" s="369"/>
      <c r="CJ79" s="369"/>
      <c r="CN79" s="368">
        <f t="shared" si="53"/>
        <v>0</v>
      </c>
      <c r="CO79" s="505">
        <f t="shared" si="54"/>
        <v>67</v>
      </c>
      <c r="CP79" s="368" t="str">
        <f t="shared" si="56"/>
        <v>Hüttenkalk gekörnt</v>
      </c>
      <c r="CQ79" s="531">
        <f t="shared" si="57"/>
        <v>118</v>
      </c>
      <c r="CS79" s="532"/>
      <c r="CV79" s="368" t="str">
        <f t="shared" si="58"/>
        <v>Raps Stroh (23 % RP2)</v>
      </c>
      <c r="CW79" s="505">
        <f t="shared" si="59"/>
        <v>67</v>
      </c>
    </row>
    <row r="80" spans="1:103" ht="18" customHeight="1" x14ac:dyDescent="0.2">
      <c r="A80" s="368"/>
      <c r="B80" s="369"/>
      <c r="C80" s="648">
        <f t="shared" si="51"/>
        <v>68</v>
      </c>
      <c r="D80" s="649"/>
      <c r="E80" s="650"/>
      <c r="F80" s="709"/>
      <c r="G80" s="710"/>
      <c r="H80" s="710"/>
      <c r="I80" s="710"/>
      <c r="J80" s="652"/>
      <c r="K80" s="710"/>
      <c r="L80" s="710"/>
      <c r="M80" s="710"/>
      <c r="N80" s="711"/>
      <c r="O80" s="711"/>
      <c r="P80" s="711"/>
      <c r="Q80" s="711">
        <v>4.0000000000000001E-3</v>
      </c>
      <c r="R80" s="710">
        <v>4</v>
      </c>
      <c r="S80" s="369"/>
      <c r="T80" s="654">
        <f t="shared" si="55"/>
        <v>120</v>
      </c>
      <c r="U80" s="554" t="s">
        <v>441</v>
      </c>
      <c r="V80" s="556"/>
      <c r="W80" s="556">
        <v>0.5</v>
      </c>
      <c r="X80" s="556"/>
      <c r="Y80" s="556">
        <v>0.5</v>
      </c>
      <c r="Z80" s="556"/>
      <c r="AA80" s="556">
        <v>25</v>
      </c>
      <c r="AB80" s="607"/>
      <c r="AC80" s="369"/>
      <c r="AE80" s="369"/>
      <c r="AF80" s="369"/>
      <c r="AG80" s="369"/>
      <c r="AH80" s="369"/>
      <c r="AI80" s="369"/>
      <c r="AJ80" s="369"/>
      <c r="AK80" s="369"/>
      <c r="AL80" s="369"/>
      <c r="AM80" s="369"/>
      <c r="AN80" s="369"/>
      <c r="AO80" s="369"/>
      <c r="AP80" s="369"/>
      <c r="AQ80" s="369"/>
      <c r="AR80" s="369"/>
      <c r="AS80" s="369"/>
      <c r="AT80" s="369"/>
      <c r="AU80" s="369"/>
      <c r="AV80" s="369"/>
      <c r="AW80" s="495">
        <f t="shared" si="52"/>
        <v>69</v>
      </c>
      <c r="AX80" s="496" t="str">
        <f>CONCATENATE("Sonnenblume ",AY80)</f>
        <v>Sonnenblume Korn (20 % RP2)</v>
      </c>
      <c r="AY80" s="522" t="s">
        <v>442</v>
      </c>
      <c r="AZ80" s="497">
        <v>91</v>
      </c>
      <c r="BA80" s="497" t="s">
        <v>189</v>
      </c>
      <c r="BB80" s="523">
        <v>2.91</v>
      </c>
      <c r="BC80" s="524">
        <v>1.6</v>
      </c>
      <c r="BD80" s="525">
        <v>0.7</v>
      </c>
      <c r="BE80" s="526"/>
      <c r="BF80" s="493"/>
      <c r="BG80" s="493"/>
      <c r="BH80" s="494"/>
      <c r="BI80" s="369"/>
      <c r="BJ80" s="369"/>
      <c r="BK80" s="369"/>
      <c r="BL80" s="369"/>
      <c r="BM80" s="369"/>
      <c r="BN80" s="369"/>
      <c r="BO80" s="369"/>
      <c r="BP80" s="369"/>
      <c r="BQ80" s="369"/>
      <c r="BR80" s="369"/>
      <c r="BT80" s="369"/>
      <c r="BU80" s="369"/>
      <c r="BV80" s="369"/>
      <c r="BW80" s="369"/>
      <c r="BX80" s="369"/>
      <c r="BY80" s="369"/>
      <c r="BZ80" s="369"/>
      <c r="CB80" s="369"/>
      <c r="CC80" s="369"/>
      <c r="CD80" s="369"/>
      <c r="CE80" s="369"/>
      <c r="CF80" s="369"/>
      <c r="CG80" s="369"/>
      <c r="CH80" s="369"/>
      <c r="CI80" s="369"/>
      <c r="CJ80" s="369"/>
      <c r="CN80" s="368">
        <f t="shared" si="53"/>
        <v>0</v>
      </c>
      <c r="CO80" s="505">
        <f t="shared" si="54"/>
        <v>68</v>
      </c>
      <c r="CP80" s="368" t="str">
        <f t="shared" si="56"/>
        <v>Thomaskalk 4</v>
      </c>
      <c r="CQ80" s="531">
        <f t="shared" si="57"/>
        <v>119</v>
      </c>
      <c r="CS80" s="532"/>
      <c r="CV80" s="368" t="str">
        <f t="shared" si="58"/>
        <v>Raps Korn + Stroh3 (23 % RP2)</v>
      </c>
      <c r="CW80" s="505">
        <f t="shared" si="59"/>
        <v>68</v>
      </c>
    </row>
    <row r="81" spans="1:101" ht="18" customHeight="1" x14ac:dyDescent="0.2">
      <c r="A81" s="368"/>
      <c r="B81" s="369"/>
      <c r="C81" s="648">
        <f t="shared" si="51"/>
        <v>69</v>
      </c>
      <c r="D81" s="649"/>
      <c r="E81" s="650"/>
      <c r="F81" s="709"/>
      <c r="G81" s="710"/>
      <c r="H81" s="710"/>
      <c r="I81" s="710"/>
      <c r="J81" s="652"/>
      <c r="K81" s="710"/>
      <c r="L81" s="710"/>
      <c r="M81" s="710"/>
      <c r="N81" s="711"/>
      <c r="O81" s="711"/>
      <c r="P81" s="711"/>
      <c r="Q81" s="711">
        <v>4.0000000000000001E-3</v>
      </c>
      <c r="R81" s="710">
        <v>0.67</v>
      </c>
      <c r="S81" s="369"/>
      <c r="T81" s="654">
        <f t="shared" si="55"/>
        <v>121</v>
      </c>
      <c r="U81" s="602"/>
      <c r="V81" s="603"/>
      <c r="W81" s="603"/>
      <c r="X81" s="603"/>
      <c r="Y81" s="603"/>
      <c r="Z81" s="603"/>
      <c r="AA81" s="603"/>
      <c r="AB81" s="604"/>
      <c r="AC81" s="369"/>
      <c r="AE81" s="369"/>
      <c r="AF81" s="369"/>
      <c r="AG81" s="369"/>
      <c r="AH81" s="369"/>
      <c r="AI81" s="369"/>
      <c r="AJ81" s="369"/>
      <c r="AK81" s="369"/>
      <c r="AL81" s="369"/>
      <c r="AM81" s="369"/>
      <c r="AN81" s="369"/>
      <c r="AO81" s="369"/>
      <c r="AP81" s="369"/>
      <c r="AQ81" s="369"/>
      <c r="AR81" s="369"/>
      <c r="AS81" s="369"/>
      <c r="AT81" s="369"/>
      <c r="AU81" s="369"/>
      <c r="AV81" s="369"/>
      <c r="AW81" s="495">
        <f t="shared" si="52"/>
        <v>70</v>
      </c>
      <c r="AX81" s="496" t="str">
        <f>CONCATENATE("Sonnenblume ",AY81)</f>
        <v>Sonnenblume Stroh (20 % RP2)</v>
      </c>
      <c r="AY81" s="522" t="s">
        <v>443</v>
      </c>
      <c r="AZ81" s="497">
        <v>86</v>
      </c>
      <c r="BA81" s="497" t="s">
        <v>189</v>
      </c>
      <c r="BB81" s="523">
        <v>1</v>
      </c>
      <c r="BC81" s="524">
        <v>0.9</v>
      </c>
      <c r="BD81" s="525">
        <v>0.4</v>
      </c>
      <c r="BE81" s="526"/>
      <c r="BF81" s="493"/>
      <c r="BG81" s="493"/>
      <c r="BH81" s="494"/>
      <c r="BI81" s="369"/>
      <c r="BJ81" s="369"/>
      <c r="BK81" s="369"/>
      <c r="BL81" s="369"/>
      <c r="BM81" s="369"/>
      <c r="BN81" s="369"/>
      <c r="BO81" s="369"/>
      <c r="BP81" s="369"/>
      <c r="BQ81" s="369"/>
      <c r="BR81" s="369"/>
      <c r="BT81" s="369"/>
      <c r="BU81" s="369"/>
      <c r="BV81" s="369"/>
      <c r="BW81" s="369"/>
      <c r="BX81" s="369"/>
      <c r="BY81" s="369"/>
      <c r="BZ81" s="369"/>
      <c r="CB81" s="369"/>
      <c r="CC81" s="369"/>
      <c r="CD81" s="369"/>
      <c r="CE81" s="369"/>
      <c r="CF81" s="369"/>
      <c r="CG81" s="369"/>
      <c r="CH81" s="369"/>
      <c r="CI81" s="369"/>
      <c r="CJ81" s="369"/>
      <c r="CN81" s="368">
        <f t="shared" si="53"/>
        <v>0</v>
      </c>
      <c r="CO81" s="505">
        <f t="shared" si="54"/>
        <v>69</v>
      </c>
      <c r="CP81" s="368" t="str">
        <f t="shared" si="56"/>
        <v>Carbokalk 45</v>
      </c>
      <c r="CQ81" s="531">
        <f t="shared" si="57"/>
        <v>120</v>
      </c>
      <c r="CS81" s="532"/>
      <c r="CV81" s="368" t="str">
        <f t="shared" si="58"/>
        <v>Sonnenblume Korn (20 % RP2)</v>
      </c>
      <c r="CW81" s="505">
        <f t="shared" si="59"/>
        <v>69</v>
      </c>
    </row>
    <row r="82" spans="1:101" ht="18" customHeight="1" x14ac:dyDescent="0.2">
      <c r="A82" s="368"/>
      <c r="B82" s="369"/>
      <c r="C82" s="648">
        <f t="shared" si="51"/>
        <v>70</v>
      </c>
      <c r="D82" s="649"/>
      <c r="E82" s="650"/>
      <c r="F82" s="709"/>
      <c r="G82" s="710"/>
      <c r="H82" s="710"/>
      <c r="I82" s="710"/>
      <c r="J82" s="652"/>
      <c r="K82" s="710"/>
      <c r="L82" s="710"/>
      <c r="M82" s="710"/>
      <c r="N82" s="711"/>
      <c r="O82" s="711"/>
      <c r="P82" s="711"/>
      <c r="Q82" s="711">
        <v>4.0000000000000001E-3</v>
      </c>
      <c r="R82" s="710">
        <v>0.67</v>
      </c>
      <c r="S82" s="369"/>
      <c r="T82" s="654">
        <f t="shared" si="55"/>
        <v>122</v>
      </c>
      <c r="U82" s="496"/>
      <c r="V82" s="497"/>
      <c r="W82" s="497"/>
      <c r="X82" s="497"/>
      <c r="Y82" s="497"/>
      <c r="Z82" s="497"/>
      <c r="AA82" s="497"/>
      <c r="AB82" s="512"/>
      <c r="AC82" s="369"/>
      <c r="AE82" s="369"/>
      <c r="AF82" s="369"/>
      <c r="AG82" s="369"/>
      <c r="AH82" s="369"/>
      <c r="AI82" s="369"/>
      <c r="AJ82" s="369"/>
      <c r="AK82" s="369"/>
      <c r="AL82" s="369"/>
      <c r="AM82" s="369"/>
      <c r="AN82" s="369"/>
      <c r="AO82" s="369"/>
      <c r="AP82" s="369"/>
      <c r="AQ82" s="369"/>
      <c r="AR82" s="369"/>
      <c r="AS82" s="369"/>
      <c r="AT82" s="369"/>
      <c r="AU82" s="369"/>
      <c r="AV82" s="369"/>
      <c r="AW82" s="495">
        <f t="shared" si="52"/>
        <v>71</v>
      </c>
      <c r="AX82" s="496" t="str">
        <f>CONCATENATE("Sonnenblume ",AY82)</f>
        <v>Sonnenblume Korn + Stroh3 (20 % RP2)</v>
      </c>
      <c r="AY82" s="522" t="s">
        <v>444</v>
      </c>
      <c r="AZ82" s="497" t="s">
        <v>189</v>
      </c>
      <c r="BA82" s="497" t="s">
        <v>445</v>
      </c>
      <c r="BB82" s="523">
        <v>4.91</v>
      </c>
      <c r="BC82" s="524">
        <v>3.4</v>
      </c>
      <c r="BD82" s="525">
        <v>1.5</v>
      </c>
      <c r="BE82" s="526"/>
      <c r="BF82" s="493"/>
      <c r="BG82" s="493"/>
      <c r="BH82" s="494"/>
      <c r="BI82" s="369"/>
      <c r="BJ82" s="369"/>
      <c r="BK82" s="369"/>
      <c r="BL82" s="369"/>
      <c r="BM82" s="369"/>
      <c r="BN82" s="369"/>
      <c r="BO82" s="369"/>
      <c r="BP82" s="369"/>
      <c r="BQ82" s="369"/>
      <c r="BR82" s="369"/>
      <c r="BT82" s="369"/>
      <c r="BU82" s="369"/>
      <c r="BV82" s="369"/>
      <c r="BW82" s="369"/>
      <c r="BX82" s="369"/>
      <c r="BY82" s="369"/>
      <c r="BZ82" s="369"/>
      <c r="CB82" s="369"/>
      <c r="CC82" s="369"/>
      <c r="CD82" s="369"/>
      <c r="CE82" s="369"/>
      <c r="CF82" s="369"/>
      <c r="CG82" s="369"/>
      <c r="CH82" s="369"/>
      <c r="CI82" s="369"/>
      <c r="CJ82" s="369"/>
      <c r="CN82" s="368">
        <f t="shared" si="53"/>
        <v>0</v>
      </c>
      <c r="CO82" s="505">
        <f t="shared" si="54"/>
        <v>70</v>
      </c>
      <c r="CP82" s="368">
        <f t="shared" si="56"/>
        <v>0</v>
      </c>
      <c r="CQ82" s="531">
        <f t="shared" si="57"/>
        <v>121</v>
      </c>
      <c r="CS82" s="532"/>
      <c r="CV82" s="368" t="str">
        <f t="shared" si="58"/>
        <v>Sonnenblume Stroh (20 % RP2)</v>
      </c>
      <c r="CW82" s="505">
        <f t="shared" si="59"/>
        <v>70</v>
      </c>
    </row>
    <row r="83" spans="1:101" ht="18" customHeight="1" x14ac:dyDescent="0.2">
      <c r="A83" s="368"/>
      <c r="B83" s="369"/>
      <c r="C83" s="648">
        <f t="shared" si="51"/>
        <v>71</v>
      </c>
      <c r="D83" s="649"/>
      <c r="E83" s="650"/>
      <c r="F83" s="709"/>
      <c r="G83" s="710"/>
      <c r="H83" s="710"/>
      <c r="I83" s="710"/>
      <c r="J83" s="652"/>
      <c r="K83" s="710"/>
      <c r="L83" s="710"/>
      <c r="M83" s="710"/>
      <c r="N83" s="711"/>
      <c r="O83" s="711"/>
      <c r="P83" s="711"/>
      <c r="Q83" s="711">
        <v>4.0000000000000001E-3</v>
      </c>
      <c r="R83" s="710">
        <v>4</v>
      </c>
      <c r="S83" s="369"/>
      <c r="T83" s="654">
        <f t="shared" si="55"/>
        <v>123</v>
      </c>
      <c r="U83" s="496"/>
      <c r="V83" s="497"/>
      <c r="W83" s="497"/>
      <c r="X83" s="497"/>
      <c r="Y83" s="497"/>
      <c r="Z83" s="497"/>
      <c r="AA83" s="497"/>
      <c r="AB83" s="512"/>
      <c r="AC83" s="369"/>
      <c r="AE83" s="369"/>
      <c r="AF83" s="369"/>
      <c r="AG83" s="369"/>
      <c r="AH83" s="369"/>
      <c r="AI83" s="369"/>
      <c r="AJ83" s="369"/>
      <c r="AK83" s="369"/>
      <c r="AL83" s="369"/>
      <c r="AM83" s="369"/>
      <c r="AN83" s="369"/>
      <c r="AO83" s="369"/>
      <c r="AP83" s="369"/>
      <c r="AQ83" s="369"/>
      <c r="AR83" s="369"/>
      <c r="AS83" s="369"/>
      <c r="AT83" s="369"/>
      <c r="AU83" s="369"/>
      <c r="AV83" s="369"/>
      <c r="AW83" s="495">
        <f t="shared" si="52"/>
        <v>72</v>
      </c>
      <c r="AX83" s="496" t="str">
        <f>CONCATENATE("Senf ",AY83)</f>
        <v>Senf Korn</v>
      </c>
      <c r="AY83" s="496" t="s">
        <v>446</v>
      </c>
      <c r="AZ83" s="499">
        <v>91</v>
      </c>
      <c r="BA83" s="499" t="s">
        <v>189</v>
      </c>
      <c r="BB83" s="579">
        <v>5.08</v>
      </c>
      <c r="BC83" s="524">
        <v>1.77</v>
      </c>
      <c r="BD83" s="525">
        <v>0.77</v>
      </c>
      <c r="BE83" s="526"/>
      <c r="BF83" s="493"/>
      <c r="BG83" s="493"/>
      <c r="BH83" s="494"/>
      <c r="BI83" s="369"/>
      <c r="BJ83" s="369"/>
      <c r="BK83" s="369"/>
      <c r="BL83" s="369"/>
      <c r="BM83" s="369"/>
      <c r="BN83" s="369"/>
      <c r="BO83" s="369"/>
      <c r="BP83" s="369"/>
      <c r="BQ83" s="369"/>
      <c r="BR83" s="369"/>
      <c r="BT83" s="369"/>
      <c r="BU83" s="369"/>
      <c r="BV83" s="369"/>
      <c r="BW83" s="369"/>
      <c r="BX83" s="369"/>
      <c r="BY83" s="369"/>
      <c r="BZ83" s="369"/>
      <c r="CB83" s="369"/>
      <c r="CC83" s="369"/>
      <c r="CD83" s="369"/>
      <c r="CE83" s="369"/>
      <c r="CF83" s="369"/>
      <c r="CG83" s="369"/>
      <c r="CH83" s="369"/>
      <c r="CI83" s="369"/>
      <c r="CJ83" s="369"/>
      <c r="CN83" s="368">
        <f t="shared" si="53"/>
        <v>0</v>
      </c>
      <c r="CO83" s="505">
        <f t="shared" si="54"/>
        <v>71</v>
      </c>
      <c r="CP83" s="368">
        <f t="shared" si="56"/>
        <v>0</v>
      </c>
      <c r="CQ83" s="531">
        <f t="shared" si="57"/>
        <v>122</v>
      </c>
      <c r="CS83" s="532"/>
      <c r="CV83" s="368" t="str">
        <f t="shared" si="58"/>
        <v>Sonnenblume Korn + Stroh3 (20 % RP2)</v>
      </c>
      <c r="CW83" s="505">
        <f t="shared" si="59"/>
        <v>71</v>
      </c>
    </row>
    <row r="84" spans="1:101" ht="18" customHeight="1" x14ac:dyDescent="0.2">
      <c r="A84" s="368"/>
      <c r="B84" s="369"/>
      <c r="C84" s="648">
        <f t="shared" si="51"/>
        <v>72</v>
      </c>
      <c r="D84" s="649"/>
      <c r="E84" s="650"/>
      <c r="F84" s="709"/>
      <c r="G84" s="710"/>
      <c r="H84" s="710"/>
      <c r="I84" s="710"/>
      <c r="J84" s="652"/>
      <c r="K84" s="710"/>
      <c r="L84" s="710"/>
      <c r="M84" s="710"/>
      <c r="N84" s="711"/>
      <c r="O84" s="711"/>
      <c r="P84" s="711"/>
      <c r="Q84" s="711">
        <v>4.0000000000000001E-3</v>
      </c>
      <c r="R84" s="710">
        <v>0.67</v>
      </c>
      <c r="S84" s="369"/>
      <c r="T84" s="654">
        <f t="shared" si="55"/>
        <v>124</v>
      </c>
      <c r="U84" s="496"/>
      <c r="V84" s="497"/>
      <c r="W84" s="497"/>
      <c r="X84" s="497"/>
      <c r="Y84" s="497"/>
      <c r="Z84" s="497"/>
      <c r="AA84" s="497"/>
      <c r="AB84" s="512"/>
      <c r="AC84" s="369"/>
      <c r="AE84" s="369"/>
      <c r="AF84" s="369"/>
      <c r="AG84" s="369"/>
      <c r="AH84" s="369"/>
      <c r="AI84" s="369"/>
      <c r="AJ84" s="369"/>
      <c r="AK84" s="369"/>
      <c r="AL84" s="369"/>
      <c r="AM84" s="369"/>
      <c r="AN84" s="369"/>
      <c r="AO84" s="369"/>
      <c r="AP84" s="369"/>
      <c r="AQ84" s="369"/>
      <c r="AR84" s="369"/>
      <c r="AS84" s="369"/>
      <c r="AT84" s="369"/>
      <c r="AU84" s="369"/>
      <c r="AV84" s="369"/>
      <c r="AW84" s="495">
        <f t="shared" si="52"/>
        <v>73</v>
      </c>
      <c r="AX84" s="496" t="str">
        <f>CONCATENATE("Senf ",AY84)</f>
        <v>Senf Stroh</v>
      </c>
      <c r="AY84" s="496" t="s">
        <v>447</v>
      </c>
      <c r="AZ84" s="499">
        <v>86</v>
      </c>
      <c r="BA84" s="499" t="s">
        <v>189</v>
      </c>
      <c r="BB84" s="579">
        <v>0.7</v>
      </c>
      <c r="BC84" s="524">
        <v>0.4</v>
      </c>
      <c r="BD84" s="525">
        <v>0.17</v>
      </c>
      <c r="BE84" s="526"/>
      <c r="BF84" s="493"/>
      <c r="BG84" s="493"/>
      <c r="BH84" s="494"/>
      <c r="BI84" s="369"/>
      <c r="BJ84" s="369"/>
      <c r="BK84" s="369"/>
      <c r="BL84" s="369"/>
      <c r="BM84" s="369"/>
      <c r="BN84" s="369"/>
      <c r="BO84" s="369"/>
      <c r="BP84" s="369"/>
      <c r="BQ84" s="369"/>
      <c r="BR84" s="369"/>
      <c r="BT84" s="369"/>
      <c r="BU84" s="369"/>
      <c r="BV84" s="369"/>
      <c r="BW84" s="369"/>
      <c r="BX84" s="369"/>
      <c r="BY84" s="369"/>
      <c r="BZ84" s="369"/>
      <c r="CB84" s="369"/>
      <c r="CC84" s="369"/>
      <c r="CD84" s="369"/>
      <c r="CE84" s="369"/>
      <c r="CF84" s="369"/>
      <c r="CG84" s="369"/>
      <c r="CH84" s="369"/>
      <c r="CI84" s="369"/>
      <c r="CJ84" s="369"/>
      <c r="CN84" s="368">
        <f t="shared" si="53"/>
        <v>0</v>
      </c>
      <c r="CO84" s="505">
        <f t="shared" si="54"/>
        <v>72</v>
      </c>
      <c r="CP84" s="368">
        <f t="shared" si="56"/>
        <v>0</v>
      </c>
      <c r="CQ84" s="531">
        <f t="shared" si="57"/>
        <v>123</v>
      </c>
      <c r="CS84" s="532"/>
      <c r="CV84" s="368" t="str">
        <f t="shared" si="58"/>
        <v>Senf Korn</v>
      </c>
      <c r="CW84" s="505">
        <f t="shared" si="59"/>
        <v>72</v>
      </c>
    </row>
    <row r="85" spans="1:101" ht="18" customHeight="1" x14ac:dyDescent="0.2">
      <c r="A85" s="368"/>
      <c r="B85" s="369"/>
      <c r="C85" s="648">
        <f t="shared" si="51"/>
        <v>73</v>
      </c>
      <c r="D85" s="649"/>
      <c r="E85" s="650"/>
      <c r="F85" s="709"/>
      <c r="G85" s="710"/>
      <c r="H85" s="710"/>
      <c r="I85" s="710"/>
      <c r="J85" s="652"/>
      <c r="K85" s="710"/>
      <c r="L85" s="710"/>
      <c r="M85" s="710"/>
      <c r="N85" s="711"/>
      <c r="O85" s="711"/>
      <c r="P85" s="711"/>
      <c r="Q85" s="711">
        <v>4.0000000000000001E-3</v>
      </c>
      <c r="R85" s="710">
        <v>0.33</v>
      </c>
      <c r="S85" s="369"/>
      <c r="T85" s="654">
        <f t="shared" si="55"/>
        <v>125</v>
      </c>
      <c r="U85" s="581"/>
      <c r="V85" s="582"/>
      <c r="W85" s="582"/>
      <c r="X85" s="582"/>
      <c r="Y85" s="582"/>
      <c r="Z85" s="582"/>
      <c r="AA85" s="582"/>
      <c r="AB85" s="655"/>
      <c r="AC85" s="369"/>
      <c r="AE85" s="369"/>
      <c r="AF85" s="369"/>
      <c r="AG85" s="369"/>
      <c r="AH85" s="369"/>
      <c r="AI85" s="369"/>
      <c r="AJ85" s="369"/>
      <c r="AK85" s="369"/>
      <c r="AL85" s="369"/>
      <c r="AM85" s="369"/>
      <c r="AN85" s="369"/>
      <c r="AO85" s="369"/>
      <c r="AP85" s="369"/>
      <c r="AQ85" s="369"/>
      <c r="AR85" s="369"/>
      <c r="AS85" s="369"/>
      <c r="AT85" s="369"/>
      <c r="AU85" s="369"/>
      <c r="AV85" s="369"/>
      <c r="AW85" s="495">
        <f t="shared" si="52"/>
        <v>74</v>
      </c>
      <c r="AX85" s="496" t="str">
        <f>CONCATENATE("Senf ",AY85)</f>
        <v>Senf Korn + Stroh3</v>
      </c>
      <c r="AY85" s="496" t="s">
        <v>448</v>
      </c>
      <c r="AZ85" s="499" t="s">
        <v>189</v>
      </c>
      <c r="BA85" s="499">
        <v>1.5</v>
      </c>
      <c r="BB85" s="579">
        <v>6.13</v>
      </c>
      <c r="BC85" s="524">
        <v>2.37</v>
      </c>
      <c r="BD85" s="525">
        <v>1.03</v>
      </c>
      <c r="BE85" s="526"/>
      <c r="BF85" s="493"/>
      <c r="BG85" s="493"/>
      <c r="BH85" s="494"/>
      <c r="BI85" s="369"/>
      <c r="BJ85" s="369"/>
      <c r="BK85" s="369"/>
      <c r="BL85" s="369"/>
      <c r="BM85" s="369"/>
      <c r="BN85" s="369"/>
      <c r="BO85" s="369"/>
      <c r="BP85" s="369"/>
      <c r="BQ85" s="369"/>
      <c r="BR85" s="369"/>
      <c r="BT85" s="369"/>
      <c r="BU85" s="369"/>
      <c r="BV85" s="369"/>
      <c r="BW85" s="369"/>
      <c r="BX85" s="369"/>
      <c r="BY85" s="369"/>
      <c r="BZ85" s="369"/>
      <c r="CB85" s="369"/>
      <c r="CC85" s="369"/>
      <c r="CD85" s="369"/>
      <c r="CE85" s="369"/>
      <c r="CF85" s="369"/>
      <c r="CG85" s="369"/>
      <c r="CH85" s="369"/>
      <c r="CI85" s="369"/>
      <c r="CJ85" s="369"/>
      <c r="CN85" s="368">
        <f t="shared" si="53"/>
        <v>0</v>
      </c>
      <c r="CO85" s="505">
        <f t="shared" si="54"/>
        <v>73</v>
      </c>
      <c r="CP85" s="368">
        <f t="shared" si="56"/>
        <v>0</v>
      </c>
      <c r="CQ85" s="531">
        <f t="shared" si="57"/>
        <v>124</v>
      </c>
      <c r="CS85" s="532"/>
      <c r="CV85" s="368" t="str">
        <f t="shared" si="58"/>
        <v>Senf Stroh</v>
      </c>
      <c r="CW85" s="505">
        <f t="shared" si="59"/>
        <v>73</v>
      </c>
    </row>
    <row r="86" spans="1:101" ht="18" customHeight="1" x14ac:dyDescent="0.2">
      <c r="A86" s="368"/>
      <c r="B86" s="369"/>
      <c r="C86" s="648">
        <f t="shared" si="51"/>
        <v>74</v>
      </c>
      <c r="D86" s="649"/>
      <c r="E86" s="650"/>
      <c r="F86" s="709"/>
      <c r="G86" s="710"/>
      <c r="H86" s="710"/>
      <c r="I86" s="710"/>
      <c r="J86" s="652"/>
      <c r="K86" s="710"/>
      <c r="L86" s="710"/>
      <c r="M86" s="710"/>
      <c r="N86" s="711"/>
      <c r="O86" s="711"/>
      <c r="P86" s="711"/>
      <c r="Q86" s="711">
        <v>4.0000000000000001E-3</v>
      </c>
      <c r="R86" s="710">
        <v>4</v>
      </c>
      <c r="S86" s="369"/>
      <c r="T86" s="369"/>
      <c r="U86" s="369"/>
      <c r="V86" s="369"/>
      <c r="W86" s="369"/>
      <c r="X86" s="369"/>
      <c r="Y86" s="369"/>
      <c r="Z86" s="369"/>
      <c r="AA86" s="369"/>
      <c r="AB86" s="369"/>
      <c r="AC86" s="369"/>
      <c r="AE86" s="369"/>
      <c r="AF86" s="369"/>
      <c r="AG86" s="369"/>
      <c r="AH86" s="369"/>
      <c r="AI86" s="369"/>
      <c r="AJ86" s="369"/>
      <c r="AK86" s="369"/>
      <c r="AL86" s="369"/>
      <c r="AM86" s="369"/>
      <c r="AN86" s="369"/>
      <c r="AO86" s="369"/>
      <c r="AP86" s="369"/>
      <c r="AQ86" s="369"/>
      <c r="AR86" s="369"/>
      <c r="AS86" s="369"/>
      <c r="AT86" s="369"/>
      <c r="AU86" s="369"/>
      <c r="AV86" s="369"/>
      <c r="AW86" s="495">
        <f t="shared" si="52"/>
        <v>75</v>
      </c>
      <c r="AX86" s="496" t="str">
        <f>CONCATENATE("Öllein ",AY86)</f>
        <v>Öllein Korn</v>
      </c>
      <c r="AY86" s="522" t="s">
        <v>446</v>
      </c>
      <c r="AZ86" s="497">
        <v>91</v>
      </c>
      <c r="BA86" s="497" t="s">
        <v>189</v>
      </c>
      <c r="BB86" s="523">
        <v>3.5</v>
      </c>
      <c r="BC86" s="524">
        <v>1.2</v>
      </c>
      <c r="BD86" s="525">
        <v>0.52</v>
      </c>
      <c r="BE86" s="526"/>
      <c r="BF86" s="493"/>
      <c r="BG86" s="493"/>
      <c r="BH86" s="494"/>
      <c r="BI86" s="369"/>
      <c r="BJ86" s="369"/>
      <c r="BK86" s="369"/>
      <c r="BL86" s="369"/>
      <c r="BM86" s="369"/>
      <c r="BN86" s="369"/>
      <c r="BO86" s="369"/>
      <c r="BP86" s="369"/>
      <c r="BQ86" s="369"/>
      <c r="BR86" s="369"/>
      <c r="BT86" s="369"/>
      <c r="BU86" s="369"/>
      <c r="BV86" s="369"/>
      <c r="BW86" s="369"/>
      <c r="BX86" s="369"/>
      <c r="BY86" s="369"/>
      <c r="BZ86" s="369"/>
      <c r="CB86" s="369"/>
      <c r="CC86" s="369"/>
      <c r="CD86" s="369"/>
      <c r="CE86" s="369"/>
      <c r="CF86" s="369"/>
      <c r="CG86" s="369"/>
      <c r="CH86" s="369"/>
      <c r="CI86" s="369"/>
      <c r="CJ86" s="369"/>
      <c r="CN86" s="368">
        <f t="shared" si="53"/>
        <v>0</v>
      </c>
      <c r="CO86" s="505">
        <f t="shared" si="54"/>
        <v>74</v>
      </c>
      <c r="CS86" s="532"/>
      <c r="CV86" s="368" t="str">
        <f t="shared" si="58"/>
        <v>Senf Korn + Stroh3</v>
      </c>
      <c r="CW86" s="505">
        <f t="shared" si="59"/>
        <v>74</v>
      </c>
    </row>
    <row r="87" spans="1:101" ht="18" customHeight="1" x14ac:dyDescent="0.2">
      <c r="A87" s="368"/>
      <c r="B87" s="369"/>
      <c r="C87" s="648">
        <f t="shared" si="51"/>
        <v>75</v>
      </c>
      <c r="D87" s="649"/>
      <c r="E87" s="656"/>
      <c r="F87" s="709"/>
      <c r="G87" s="710"/>
      <c r="H87" s="710"/>
      <c r="I87" s="710"/>
      <c r="J87" s="652"/>
      <c r="K87" s="710"/>
      <c r="L87" s="710"/>
      <c r="M87" s="710"/>
      <c r="N87" s="711"/>
      <c r="O87" s="711"/>
      <c r="P87" s="711"/>
      <c r="Q87" s="711"/>
      <c r="R87" s="710"/>
      <c r="S87" s="369"/>
      <c r="T87" s="369"/>
      <c r="U87" s="369"/>
      <c r="V87" s="369"/>
      <c r="W87" s="369"/>
      <c r="X87" s="369"/>
      <c r="Y87" s="369"/>
      <c r="Z87" s="369"/>
      <c r="AA87" s="369"/>
      <c r="AB87" s="369"/>
      <c r="AC87" s="369"/>
      <c r="AE87" s="369"/>
      <c r="AF87" s="369"/>
      <c r="AG87" s="369"/>
      <c r="AH87" s="369"/>
      <c r="AI87" s="369"/>
      <c r="AJ87" s="369"/>
      <c r="AK87" s="369"/>
      <c r="AL87" s="369"/>
      <c r="AM87" s="369"/>
      <c r="AN87" s="369"/>
      <c r="AO87" s="369"/>
      <c r="AP87" s="369"/>
      <c r="AQ87" s="369"/>
      <c r="AR87" s="369"/>
      <c r="AS87" s="369"/>
      <c r="AT87" s="369"/>
      <c r="AU87" s="369"/>
      <c r="AV87" s="369"/>
      <c r="AW87" s="495">
        <f t="shared" si="52"/>
        <v>76</v>
      </c>
      <c r="AX87" s="496" t="str">
        <f>CONCATENATE("Öllein ",AY87)</f>
        <v>Öllein Stroh</v>
      </c>
      <c r="AY87" s="522" t="s">
        <v>447</v>
      </c>
      <c r="AZ87" s="497">
        <v>86</v>
      </c>
      <c r="BA87" s="497" t="s">
        <v>189</v>
      </c>
      <c r="BB87" s="523">
        <v>0.53</v>
      </c>
      <c r="BC87" s="524">
        <v>0.2</v>
      </c>
      <c r="BD87" s="525">
        <v>0.09</v>
      </c>
      <c r="BE87" s="526"/>
      <c r="BF87" s="493"/>
      <c r="BG87" s="493"/>
      <c r="BH87" s="494"/>
      <c r="BI87" s="369"/>
      <c r="BJ87" s="369"/>
      <c r="BK87" s="369"/>
      <c r="BL87" s="369"/>
      <c r="BM87" s="369"/>
      <c r="BN87" s="369"/>
      <c r="BO87" s="369"/>
      <c r="BP87" s="369"/>
      <c r="BQ87" s="369"/>
      <c r="BR87" s="369"/>
      <c r="BT87" s="369"/>
      <c r="BU87" s="369"/>
      <c r="BV87" s="369"/>
      <c r="BW87" s="369"/>
      <c r="BX87" s="369"/>
      <c r="BY87" s="369"/>
      <c r="BZ87" s="369"/>
      <c r="CB87" s="369"/>
      <c r="CC87" s="369"/>
      <c r="CD87" s="369"/>
      <c r="CE87" s="369"/>
      <c r="CF87" s="369"/>
      <c r="CG87" s="369"/>
      <c r="CH87" s="369"/>
      <c r="CI87" s="369"/>
      <c r="CJ87" s="369"/>
      <c r="CN87" s="368">
        <f t="shared" si="53"/>
        <v>0</v>
      </c>
      <c r="CO87" s="505">
        <f t="shared" si="54"/>
        <v>75</v>
      </c>
      <c r="CS87" s="532"/>
      <c r="CV87" s="368" t="str">
        <f t="shared" si="58"/>
        <v>Öllein Korn</v>
      </c>
      <c r="CW87" s="505">
        <f t="shared" si="59"/>
        <v>75</v>
      </c>
    </row>
    <row r="88" spans="1:101" ht="18" customHeight="1" x14ac:dyDescent="0.2">
      <c r="A88" s="368"/>
      <c r="B88" s="369"/>
      <c r="C88" s="648">
        <f t="shared" si="51"/>
        <v>76</v>
      </c>
      <c r="D88" s="649"/>
      <c r="E88" s="656"/>
      <c r="F88" s="709"/>
      <c r="G88" s="710"/>
      <c r="H88" s="710"/>
      <c r="I88" s="710"/>
      <c r="J88" s="652"/>
      <c r="K88" s="710"/>
      <c r="L88" s="710"/>
      <c r="M88" s="710"/>
      <c r="N88" s="711"/>
      <c r="O88" s="711"/>
      <c r="P88" s="711"/>
      <c r="Q88" s="711"/>
      <c r="R88" s="710"/>
      <c r="S88" s="369"/>
      <c r="T88" s="369"/>
      <c r="U88" s="369"/>
      <c r="V88" s="369"/>
      <c r="W88" s="369"/>
      <c r="X88" s="369"/>
      <c r="Y88" s="369"/>
      <c r="Z88" s="369"/>
      <c r="AA88" s="369"/>
      <c r="AB88" s="369"/>
      <c r="AC88" s="369"/>
      <c r="AE88" s="369"/>
      <c r="AF88" s="369"/>
      <c r="AG88" s="369"/>
      <c r="AH88" s="369"/>
      <c r="AI88" s="369"/>
      <c r="AJ88" s="369"/>
      <c r="AK88" s="369"/>
      <c r="AL88" s="369"/>
      <c r="AM88" s="369"/>
      <c r="AN88" s="369"/>
      <c r="AO88" s="369"/>
      <c r="AP88" s="369"/>
      <c r="AQ88" s="369"/>
      <c r="AR88" s="369"/>
      <c r="AS88" s="369"/>
      <c r="AT88" s="369"/>
      <c r="AU88" s="369"/>
      <c r="AV88" s="369"/>
      <c r="AW88" s="495">
        <f t="shared" si="52"/>
        <v>77</v>
      </c>
      <c r="AX88" s="554" t="str">
        <f>CONCATENATE("Öllein ",AY88)</f>
        <v>Öllein Korn + Stroh3</v>
      </c>
      <c r="AY88" s="555" t="s">
        <v>448</v>
      </c>
      <c r="AZ88" s="556" t="s">
        <v>189</v>
      </c>
      <c r="BA88" s="556" t="s">
        <v>449</v>
      </c>
      <c r="BB88" s="557">
        <v>4.3</v>
      </c>
      <c r="BC88" s="558">
        <v>1.5</v>
      </c>
      <c r="BD88" s="559">
        <v>0.65</v>
      </c>
      <c r="BE88" s="526"/>
      <c r="BF88" s="493"/>
      <c r="BG88" s="493"/>
      <c r="BH88" s="494"/>
      <c r="BI88" s="369"/>
      <c r="BJ88" s="369"/>
      <c r="BK88" s="369"/>
      <c r="BL88" s="369"/>
      <c r="BM88" s="369"/>
      <c r="BN88" s="369"/>
      <c r="BO88" s="369"/>
      <c r="BP88" s="369"/>
      <c r="BQ88" s="369"/>
      <c r="BR88" s="369"/>
      <c r="BT88" s="369"/>
      <c r="BU88" s="369"/>
      <c r="BV88" s="369"/>
      <c r="BW88" s="369"/>
      <c r="BX88" s="369"/>
      <c r="BY88" s="369"/>
      <c r="BZ88" s="369"/>
      <c r="CB88" s="369"/>
      <c r="CC88" s="369"/>
      <c r="CD88" s="369"/>
      <c r="CE88" s="369"/>
      <c r="CF88" s="369"/>
      <c r="CG88" s="369"/>
      <c r="CH88" s="369"/>
      <c r="CI88" s="369"/>
      <c r="CJ88" s="369"/>
      <c r="CN88" s="368">
        <f t="shared" si="53"/>
        <v>0</v>
      </c>
      <c r="CO88" s="505">
        <f t="shared" si="54"/>
        <v>76</v>
      </c>
      <c r="CS88" s="532"/>
      <c r="CV88" s="368" t="str">
        <f t="shared" si="58"/>
        <v>Öllein Stroh</v>
      </c>
      <c r="CW88" s="505">
        <f t="shared" si="59"/>
        <v>76</v>
      </c>
    </row>
    <row r="89" spans="1:101" ht="18" customHeight="1" x14ac:dyDescent="0.2">
      <c r="A89" s="368"/>
      <c r="B89" s="369"/>
      <c r="C89" s="648">
        <f t="shared" si="51"/>
        <v>77</v>
      </c>
      <c r="D89" s="649"/>
      <c r="E89" s="656"/>
      <c r="F89" s="709"/>
      <c r="G89" s="710"/>
      <c r="H89" s="710"/>
      <c r="I89" s="710"/>
      <c r="J89" s="652"/>
      <c r="K89" s="710"/>
      <c r="L89" s="710"/>
      <c r="M89" s="710"/>
      <c r="N89" s="711"/>
      <c r="O89" s="711"/>
      <c r="P89" s="711"/>
      <c r="Q89" s="711"/>
      <c r="R89" s="693"/>
      <c r="S89" s="369"/>
      <c r="T89" s="369"/>
      <c r="U89" s="369"/>
      <c r="V89" s="369"/>
      <c r="W89" s="369"/>
      <c r="X89" s="369"/>
      <c r="Y89" s="369"/>
      <c r="Z89" s="369"/>
      <c r="AA89" s="369"/>
      <c r="AB89" s="369"/>
      <c r="AC89" s="369"/>
      <c r="AE89" s="369"/>
      <c r="AF89" s="369"/>
      <c r="AG89" s="369"/>
      <c r="AH89" s="369"/>
      <c r="AI89" s="369"/>
      <c r="AJ89" s="369"/>
      <c r="AK89" s="369"/>
      <c r="AL89" s="369"/>
      <c r="AM89" s="369"/>
      <c r="AN89" s="369"/>
      <c r="AO89" s="369"/>
      <c r="AP89" s="369"/>
      <c r="AQ89" s="369"/>
      <c r="AR89" s="369"/>
      <c r="AS89" s="369"/>
      <c r="AT89" s="369"/>
      <c r="AU89" s="369"/>
      <c r="AV89" s="369"/>
      <c r="AW89" s="495">
        <f t="shared" si="52"/>
        <v>78</v>
      </c>
      <c r="AX89" s="564" t="s">
        <v>450</v>
      </c>
      <c r="AY89" s="565"/>
      <c r="AZ89" s="566"/>
      <c r="BA89" s="566"/>
      <c r="BB89" s="567"/>
      <c r="BC89" s="568"/>
      <c r="BD89" s="569"/>
      <c r="BE89" s="526"/>
      <c r="BF89" s="493"/>
      <c r="BG89" s="493"/>
      <c r="BH89" s="494"/>
      <c r="BI89" s="369"/>
      <c r="BJ89" s="369"/>
      <c r="BK89" s="369"/>
      <c r="BL89" s="369"/>
      <c r="BM89" s="369"/>
      <c r="BN89" s="369"/>
      <c r="BO89" s="369"/>
      <c r="BP89" s="369"/>
      <c r="BQ89" s="369"/>
      <c r="BR89" s="369"/>
      <c r="BT89" s="369"/>
      <c r="BU89" s="369"/>
      <c r="BV89" s="369"/>
      <c r="BW89" s="369"/>
      <c r="BX89" s="369"/>
      <c r="BY89" s="369"/>
      <c r="BZ89" s="369"/>
      <c r="CB89" s="369"/>
      <c r="CC89" s="369"/>
      <c r="CD89" s="369"/>
      <c r="CE89" s="369"/>
      <c r="CF89" s="369"/>
      <c r="CG89" s="369"/>
      <c r="CH89" s="369"/>
      <c r="CI89" s="369"/>
      <c r="CJ89" s="369"/>
      <c r="CN89" s="368">
        <f t="shared" si="53"/>
        <v>0</v>
      </c>
      <c r="CO89" s="505">
        <f t="shared" si="54"/>
        <v>77</v>
      </c>
      <c r="CS89" s="532"/>
      <c r="CV89" s="368" t="str">
        <f t="shared" si="58"/>
        <v>Öllein Korn + Stroh3</v>
      </c>
      <c r="CW89" s="505">
        <f t="shared" si="59"/>
        <v>77</v>
      </c>
    </row>
    <row r="90" spans="1:101" ht="18" customHeight="1" x14ac:dyDescent="0.2">
      <c r="A90" s="368"/>
      <c r="B90" s="369"/>
      <c r="C90" s="617"/>
      <c r="D90" s="703"/>
      <c r="E90" s="704"/>
      <c r="F90" s="705"/>
      <c r="G90" s="706"/>
      <c r="H90" s="706"/>
      <c r="I90" s="706"/>
      <c r="J90" s="706"/>
      <c r="K90" s="1023"/>
      <c r="L90" s="1023"/>
      <c r="M90" s="1023"/>
      <c r="N90" s="1023"/>
      <c r="O90" s="1023"/>
      <c r="P90" s="707"/>
      <c r="Q90" s="707"/>
      <c r="R90" s="728"/>
      <c r="S90" s="369"/>
      <c r="T90" s="369"/>
      <c r="U90" s="369"/>
      <c r="V90" s="369"/>
      <c r="W90" s="369"/>
      <c r="X90" s="369"/>
      <c r="Y90" s="369"/>
      <c r="Z90" s="369"/>
      <c r="AA90" s="369"/>
      <c r="AB90" s="369"/>
      <c r="AC90" s="369"/>
      <c r="AE90" s="369"/>
      <c r="AF90" s="369"/>
      <c r="AG90" s="369"/>
      <c r="AH90" s="369"/>
      <c r="AI90" s="369"/>
      <c r="AJ90" s="369"/>
      <c r="AK90" s="369"/>
      <c r="AL90" s="369"/>
      <c r="AM90" s="369"/>
      <c r="AN90" s="369"/>
      <c r="AO90" s="369"/>
      <c r="AP90" s="369"/>
      <c r="AQ90" s="369"/>
      <c r="AR90" s="369"/>
      <c r="AS90" s="369"/>
      <c r="AT90" s="369"/>
      <c r="AU90" s="369"/>
      <c r="AV90" s="369"/>
      <c r="AW90" s="495">
        <f t="shared" si="52"/>
        <v>79</v>
      </c>
      <c r="AX90" s="496" t="s">
        <v>451</v>
      </c>
      <c r="AY90" s="522" t="s">
        <v>452</v>
      </c>
      <c r="AZ90" s="497">
        <v>86</v>
      </c>
      <c r="BA90" s="497" t="s">
        <v>189</v>
      </c>
      <c r="BB90" s="523">
        <v>1</v>
      </c>
      <c r="BC90" s="524">
        <v>0.64</v>
      </c>
      <c r="BD90" s="525">
        <v>0.28000000000000003</v>
      </c>
      <c r="BE90" s="526"/>
      <c r="BF90" s="493"/>
      <c r="BG90" s="493"/>
      <c r="BH90" s="494"/>
      <c r="BI90" s="369"/>
      <c r="BJ90" s="369"/>
      <c r="BK90" s="369"/>
      <c r="BL90" s="369"/>
      <c r="BM90" s="369"/>
      <c r="BN90" s="369"/>
      <c r="BO90" s="369"/>
      <c r="BP90" s="369"/>
      <c r="BQ90" s="369"/>
      <c r="BR90" s="369"/>
      <c r="BT90" s="369"/>
      <c r="BU90" s="369"/>
      <c r="BV90" s="369"/>
      <c r="BW90" s="369"/>
      <c r="BX90" s="369"/>
      <c r="BY90" s="369"/>
      <c r="BZ90" s="369"/>
      <c r="CB90" s="369"/>
      <c r="CC90" s="369"/>
      <c r="CD90" s="369"/>
      <c r="CE90" s="369"/>
      <c r="CF90" s="369"/>
      <c r="CG90" s="369"/>
      <c r="CH90" s="369"/>
      <c r="CI90" s="369"/>
      <c r="CJ90" s="369"/>
      <c r="CN90" s="368">
        <f t="shared" si="53"/>
        <v>0</v>
      </c>
      <c r="CO90" s="505">
        <f t="shared" si="54"/>
        <v>0</v>
      </c>
      <c r="CS90" s="532"/>
      <c r="CV90" s="368" t="str">
        <f t="shared" si="58"/>
        <v>Faserpflanzen</v>
      </c>
      <c r="CW90" s="505">
        <f t="shared" si="59"/>
        <v>78</v>
      </c>
    </row>
    <row r="91" spans="1:101" ht="18" customHeight="1" x14ac:dyDescent="0.2">
      <c r="A91" s="368"/>
      <c r="B91" s="369"/>
      <c r="C91" s="648">
        <f>C89+1</f>
        <v>78</v>
      </c>
      <c r="D91" s="373"/>
      <c r="E91" s="650"/>
      <c r="F91" s="651"/>
      <c r="G91" s="652"/>
      <c r="H91" s="652"/>
      <c r="I91" s="652"/>
      <c r="J91" s="652"/>
      <c r="K91" s="652"/>
      <c r="L91" s="652"/>
      <c r="M91" s="652"/>
      <c r="N91" s="652"/>
      <c r="O91" s="652"/>
      <c r="P91" s="652"/>
      <c r="Q91" s="652">
        <v>0.7</v>
      </c>
      <c r="R91" s="652">
        <v>0.7</v>
      </c>
      <c r="S91" s="369"/>
      <c r="T91" s="369"/>
      <c r="U91" s="369"/>
      <c r="V91" s="369"/>
      <c r="W91" s="369"/>
      <c r="X91" s="369"/>
      <c r="Y91" s="369"/>
      <c r="Z91" s="369"/>
      <c r="AA91" s="369"/>
      <c r="AB91" s="369"/>
      <c r="AC91" s="369"/>
      <c r="AE91" s="369"/>
      <c r="AF91" s="369"/>
      <c r="AG91" s="369"/>
      <c r="AH91" s="369"/>
      <c r="AI91" s="369"/>
      <c r="AJ91" s="369"/>
      <c r="AK91" s="369"/>
      <c r="AL91" s="369"/>
      <c r="AM91" s="369"/>
      <c r="AN91" s="369"/>
      <c r="AO91" s="369"/>
      <c r="AP91" s="369"/>
      <c r="AQ91" s="369"/>
      <c r="AR91" s="369"/>
      <c r="AS91" s="369"/>
      <c r="AT91" s="369"/>
      <c r="AU91" s="369"/>
      <c r="AV91" s="369"/>
      <c r="AW91" s="495">
        <f t="shared" si="52"/>
        <v>80</v>
      </c>
      <c r="AX91" s="496" t="s">
        <v>453</v>
      </c>
      <c r="AY91" s="522" t="s">
        <v>452</v>
      </c>
      <c r="AZ91" s="497">
        <v>40</v>
      </c>
      <c r="BA91" s="497" t="s">
        <v>189</v>
      </c>
      <c r="BB91" s="523">
        <v>0.4</v>
      </c>
      <c r="BC91" s="524">
        <v>0.3</v>
      </c>
      <c r="BD91" s="525">
        <v>0.13</v>
      </c>
      <c r="BE91" s="526"/>
      <c r="BF91" s="493"/>
      <c r="BG91" s="493"/>
      <c r="BH91" s="494"/>
      <c r="BI91" s="369"/>
      <c r="BJ91" s="369"/>
      <c r="BK91" s="369"/>
      <c r="BL91" s="369"/>
      <c r="BM91" s="369"/>
      <c r="BN91" s="369"/>
      <c r="BO91" s="369"/>
      <c r="BP91" s="369"/>
      <c r="BQ91" s="369"/>
      <c r="BR91" s="369"/>
      <c r="BS91" s="369"/>
      <c r="BT91" s="369"/>
      <c r="BU91" s="369"/>
      <c r="BV91" s="369"/>
      <c r="BW91" s="369"/>
      <c r="BX91" s="369"/>
      <c r="BY91" s="369"/>
      <c r="BZ91" s="369"/>
      <c r="CB91" s="369"/>
      <c r="CC91" s="369"/>
      <c r="CD91" s="369"/>
      <c r="CE91" s="369"/>
      <c r="CF91" s="369"/>
      <c r="CG91" s="369"/>
      <c r="CH91" s="369"/>
      <c r="CI91" s="369"/>
      <c r="CJ91" s="369"/>
      <c r="CN91" s="368">
        <f t="shared" si="53"/>
        <v>0</v>
      </c>
      <c r="CO91" s="505">
        <f t="shared" si="54"/>
        <v>78</v>
      </c>
      <c r="CS91" s="532"/>
      <c r="CV91" s="368" t="str">
        <f t="shared" si="58"/>
        <v>Flachs (Faserlein) Ganzpflanze</v>
      </c>
      <c r="CW91" s="505">
        <f t="shared" si="59"/>
        <v>79</v>
      </c>
    </row>
    <row r="92" spans="1:101" ht="18" customHeight="1" x14ac:dyDescent="0.2">
      <c r="A92" s="368"/>
      <c r="B92" s="369"/>
      <c r="C92" s="648">
        <f t="shared" ref="C92:C100" si="60">C91+1</f>
        <v>79</v>
      </c>
      <c r="D92" s="373"/>
      <c r="E92" s="650"/>
      <c r="F92" s="651"/>
      <c r="G92" s="652"/>
      <c r="H92" s="652"/>
      <c r="I92" s="652"/>
      <c r="J92" s="652"/>
      <c r="K92" s="652"/>
      <c r="L92" s="652"/>
      <c r="M92" s="652"/>
      <c r="N92" s="652"/>
      <c r="O92" s="652"/>
      <c r="P92" s="652"/>
      <c r="Q92" s="652">
        <v>1.1000000000000001</v>
      </c>
      <c r="R92" s="652">
        <v>1.1000000000000001</v>
      </c>
      <c r="S92" s="369"/>
      <c r="T92" s="369"/>
      <c r="U92" s="369"/>
      <c r="V92" s="369"/>
      <c r="W92" s="369"/>
      <c r="X92" s="369"/>
      <c r="Y92" s="369"/>
      <c r="Z92" s="369"/>
      <c r="AA92" s="369"/>
      <c r="AB92" s="369"/>
      <c r="AC92" s="369"/>
      <c r="AE92" s="369"/>
      <c r="AF92" s="369"/>
      <c r="AG92" s="369"/>
      <c r="AH92" s="369"/>
      <c r="AI92" s="369"/>
      <c r="AJ92" s="369"/>
      <c r="AK92" s="369"/>
      <c r="AL92" s="369"/>
      <c r="AM92" s="369"/>
      <c r="AN92" s="369"/>
      <c r="AO92" s="369"/>
      <c r="AP92" s="369"/>
      <c r="AQ92" s="369"/>
      <c r="AR92" s="369"/>
      <c r="AS92" s="369"/>
      <c r="AT92" s="369"/>
      <c r="AU92" s="369"/>
      <c r="AV92" s="369"/>
      <c r="AW92" s="495">
        <f t="shared" si="52"/>
        <v>81</v>
      </c>
      <c r="AX92" s="496" t="s">
        <v>454</v>
      </c>
      <c r="AY92" s="522" t="s">
        <v>452</v>
      </c>
      <c r="AZ92" s="497">
        <v>80</v>
      </c>
      <c r="BA92" s="497" t="s">
        <v>189</v>
      </c>
      <c r="BB92" s="523">
        <v>0.15</v>
      </c>
      <c r="BC92" s="524">
        <v>0.12</v>
      </c>
      <c r="BD92" s="525">
        <v>0.05</v>
      </c>
      <c r="BE92" s="526"/>
      <c r="BF92" s="493"/>
      <c r="BG92" s="493"/>
      <c r="BH92" s="494"/>
      <c r="BI92" s="369"/>
      <c r="BJ92" s="369"/>
      <c r="BK92" s="369"/>
      <c r="BL92" s="369"/>
      <c r="BM92" s="369"/>
      <c r="BN92" s="369"/>
      <c r="BO92" s="369"/>
      <c r="BP92" s="369"/>
      <c r="BQ92" s="369"/>
      <c r="BR92" s="369"/>
      <c r="BS92" s="369"/>
      <c r="BT92" s="369"/>
      <c r="BU92" s="369"/>
      <c r="BV92" s="369"/>
      <c r="BW92" s="369"/>
      <c r="BX92" s="369"/>
      <c r="BY92" s="369"/>
      <c r="BZ92" s="369"/>
      <c r="CB92" s="369"/>
      <c r="CC92" s="369"/>
      <c r="CD92" s="369"/>
      <c r="CE92" s="369"/>
      <c r="CF92" s="369"/>
      <c r="CG92" s="369"/>
      <c r="CH92" s="369"/>
      <c r="CI92" s="369"/>
      <c r="CJ92" s="369"/>
      <c r="CN92" s="368">
        <f t="shared" si="53"/>
        <v>0</v>
      </c>
      <c r="CO92" s="505">
        <f t="shared" si="54"/>
        <v>79</v>
      </c>
      <c r="CS92" s="532"/>
      <c r="CV92" s="368" t="str">
        <f t="shared" si="58"/>
        <v>Hanf (100-150 dt/ha TM) Ganzpflanze</v>
      </c>
      <c r="CW92" s="505">
        <f t="shared" si="59"/>
        <v>80</v>
      </c>
    </row>
    <row r="93" spans="1:101" ht="18" customHeight="1" x14ac:dyDescent="0.2">
      <c r="A93" s="368"/>
      <c r="B93" s="369"/>
      <c r="C93" s="648">
        <f t="shared" si="60"/>
        <v>80</v>
      </c>
      <c r="D93" s="373"/>
      <c r="E93" s="650"/>
      <c r="F93" s="651"/>
      <c r="G93" s="652"/>
      <c r="H93" s="652"/>
      <c r="I93" s="652"/>
      <c r="J93" s="652"/>
      <c r="K93" s="652"/>
      <c r="L93" s="652"/>
      <c r="M93" s="652"/>
      <c r="N93" s="652"/>
      <c r="O93" s="652"/>
      <c r="P93" s="652"/>
      <c r="Q93" s="652">
        <v>1.1000000000000001</v>
      </c>
      <c r="R93" s="652">
        <v>1.1000000000000001</v>
      </c>
      <c r="S93" s="369"/>
      <c r="T93" s="369"/>
      <c r="U93" s="369"/>
      <c r="V93" s="369"/>
      <c r="W93" s="369"/>
      <c r="X93" s="369"/>
      <c r="Y93" s="369"/>
      <c r="Z93" s="369"/>
      <c r="AA93" s="369"/>
      <c r="AB93" s="369"/>
      <c r="AC93" s="369"/>
      <c r="AE93" s="369"/>
      <c r="AF93" s="369"/>
      <c r="AG93" s="369"/>
      <c r="AH93" s="369"/>
      <c r="AI93" s="369"/>
      <c r="AJ93" s="369"/>
      <c r="AK93" s="369"/>
      <c r="AL93" s="369"/>
      <c r="AM93" s="369"/>
      <c r="AN93" s="369"/>
      <c r="AO93" s="369"/>
      <c r="AP93" s="369"/>
      <c r="AQ93" s="369"/>
      <c r="AR93" s="369"/>
      <c r="AS93" s="369"/>
      <c r="AT93" s="369"/>
      <c r="AU93" s="369"/>
      <c r="AV93" s="369"/>
      <c r="AW93" s="495">
        <f t="shared" si="52"/>
        <v>82</v>
      </c>
      <c r="AX93" s="554" t="s">
        <v>455</v>
      </c>
      <c r="AY93" s="555"/>
      <c r="AZ93" s="556"/>
      <c r="BA93" s="556"/>
      <c r="BB93" s="557"/>
      <c r="BC93" s="558"/>
      <c r="BD93" s="559"/>
      <c r="BE93" s="526"/>
      <c r="BF93" s="493"/>
      <c r="BG93" s="493"/>
      <c r="BH93" s="494"/>
      <c r="BI93" s="369"/>
      <c r="BJ93" s="369"/>
      <c r="BK93" s="369"/>
      <c r="BL93" s="369"/>
      <c r="BM93" s="369"/>
      <c r="BN93" s="369"/>
      <c r="BO93" s="369"/>
      <c r="BP93" s="369"/>
      <c r="BQ93" s="369"/>
      <c r="BR93" s="369"/>
      <c r="BS93" s="369"/>
      <c r="BT93" s="369"/>
      <c r="BU93" s="369"/>
      <c r="BV93" s="369"/>
      <c r="BW93" s="369"/>
      <c r="BX93" s="369"/>
      <c r="BY93" s="369"/>
      <c r="BZ93" s="369"/>
      <c r="CB93" s="369"/>
      <c r="CC93" s="369"/>
      <c r="CD93" s="369"/>
      <c r="CE93" s="369"/>
      <c r="CF93" s="369"/>
      <c r="CG93" s="369"/>
      <c r="CH93" s="369"/>
      <c r="CI93" s="369"/>
      <c r="CJ93" s="369"/>
      <c r="CN93" s="368">
        <f t="shared" si="53"/>
        <v>0</v>
      </c>
      <c r="CO93" s="505">
        <f t="shared" si="54"/>
        <v>80</v>
      </c>
      <c r="CS93" s="532"/>
      <c r="CV93" s="368" t="str">
        <f t="shared" si="58"/>
        <v>Miscanthus Ganzpflanze</v>
      </c>
      <c r="CW93" s="505">
        <f t="shared" si="59"/>
        <v>81</v>
      </c>
    </row>
    <row r="94" spans="1:101" ht="18" customHeight="1" x14ac:dyDescent="0.2">
      <c r="A94" s="368"/>
      <c r="B94" s="369"/>
      <c r="C94" s="648">
        <f t="shared" si="60"/>
        <v>81</v>
      </c>
      <c r="D94" s="373"/>
      <c r="E94" s="650"/>
      <c r="F94" s="651"/>
      <c r="G94" s="652"/>
      <c r="H94" s="652"/>
      <c r="I94" s="652"/>
      <c r="J94" s="652"/>
      <c r="K94" s="652"/>
      <c r="L94" s="652"/>
      <c r="M94" s="652"/>
      <c r="N94" s="652"/>
      <c r="O94" s="652"/>
      <c r="P94" s="652"/>
      <c r="Q94" s="652">
        <v>1.1000000000000001</v>
      </c>
      <c r="R94" s="652">
        <v>1.1000000000000001</v>
      </c>
      <c r="S94" s="369"/>
      <c r="T94" s="369"/>
      <c r="U94" s="369"/>
      <c r="V94" s="369"/>
      <c r="W94" s="369"/>
      <c r="X94" s="369"/>
      <c r="Y94" s="369"/>
      <c r="Z94" s="369"/>
      <c r="AA94" s="369"/>
      <c r="AB94" s="369"/>
      <c r="AC94" s="369"/>
      <c r="AE94" s="369"/>
      <c r="AF94" s="369"/>
      <c r="AG94" s="369"/>
      <c r="AH94" s="369"/>
      <c r="AI94" s="369"/>
      <c r="AJ94" s="369"/>
      <c r="AK94" s="369"/>
      <c r="AL94" s="369"/>
      <c r="AM94" s="369"/>
      <c r="AN94" s="369"/>
      <c r="AO94" s="369"/>
      <c r="AP94" s="369"/>
      <c r="AQ94" s="369"/>
      <c r="AR94" s="369"/>
      <c r="AS94" s="369"/>
      <c r="AT94" s="369"/>
      <c r="AU94" s="369"/>
      <c r="AV94" s="369"/>
      <c r="AW94" s="495">
        <f t="shared" ref="AW94:AW125" si="61">AW93+1</f>
        <v>83</v>
      </c>
      <c r="AX94" s="564" t="s">
        <v>456</v>
      </c>
      <c r="AY94" s="565"/>
      <c r="AZ94" s="566"/>
      <c r="BA94" s="566"/>
      <c r="BB94" s="567"/>
      <c r="BC94" s="568"/>
      <c r="BD94" s="569"/>
      <c r="BE94" s="526"/>
      <c r="BF94" s="493"/>
      <c r="BG94" s="493"/>
      <c r="BH94" s="494"/>
      <c r="BI94" s="369"/>
      <c r="BJ94" s="369"/>
      <c r="BK94" s="369"/>
      <c r="BL94" s="369"/>
      <c r="BM94" s="369"/>
      <c r="BN94" s="369"/>
      <c r="BO94" s="369"/>
      <c r="BP94" s="369"/>
      <c r="BQ94" s="369"/>
      <c r="BR94" s="369"/>
      <c r="BS94" s="369"/>
      <c r="BT94" s="369"/>
      <c r="BU94" s="369"/>
      <c r="BV94" s="369"/>
      <c r="BW94" s="369"/>
      <c r="BX94" s="369"/>
      <c r="BY94" s="369"/>
      <c r="BZ94" s="369"/>
      <c r="CB94" s="369"/>
      <c r="CC94" s="369"/>
      <c r="CD94" s="369"/>
      <c r="CE94" s="369"/>
      <c r="CF94" s="369"/>
      <c r="CG94" s="369"/>
      <c r="CH94" s="369"/>
      <c r="CI94" s="369"/>
      <c r="CJ94" s="369"/>
      <c r="CN94" s="368">
        <f t="shared" si="53"/>
        <v>0</v>
      </c>
      <c r="CO94" s="505">
        <f t="shared" si="54"/>
        <v>81</v>
      </c>
      <c r="CS94" s="532"/>
      <c r="CV94" s="368" t="str">
        <f t="shared" si="58"/>
        <v>(150-200 dt/ha TM)</v>
      </c>
      <c r="CW94" s="505">
        <f t="shared" si="59"/>
        <v>82</v>
      </c>
    </row>
    <row r="95" spans="1:101" ht="18" customHeight="1" x14ac:dyDescent="0.2">
      <c r="A95" s="368"/>
      <c r="B95" s="369"/>
      <c r="C95" s="648">
        <f t="shared" si="60"/>
        <v>82</v>
      </c>
      <c r="D95" s="373"/>
      <c r="E95" s="650"/>
      <c r="F95" s="651"/>
      <c r="G95" s="652"/>
      <c r="H95" s="652"/>
      <c r="I95" s="652"/>
      <c r="J95" s="652"/>
      <c r="K95" s="652"/>
      <c r="L95" s="652"/>
      <c r="M95" s="652"/>
      <c r="N95" s="652"/>
      <c r="O95" s="652"/>
      <c r="P95" s="652"/>
      <c r="Q95" s="652">
        <v>0.7</v>
      </c>
      <c r="R95" s="652">
        <v>0.7</v>
      </c>
      <c r="S95" s="369"/>
      <c r="T95" s="369"/>
      <c r="U95" s="369"/>
      <c r="V95" s="369"/>
      <c r="W95" s="369"/>
      <c r="X95" s="369"/>
      <c r="Y95" s="369"/>
      <c r="Z95" s="369"/>
      <c r="AA95" s="369"/>
      <c r="AB95" s="369"/>
      <c r="AC95" s="369"/>
      <c r="AE95" s="369"/>
      <c r="AF95" s="369"/>
      <c r="AG95" s="369"/>
      <c r="AH95" s="369"/>
      <c r="AI95" s="369"/>
      <c r="AJ95" s="369"/>
      <c r="AK95" s="369"/>
      <c r="AL95" s="369"/>
      <c r="AM95" s="369"/>
      <c r="AN95" s="369"/>
      <c r="AO95" s="369"/>
      <c r="AP95" s="369"/>
      <c r="AQ95" s="369"/>
      <c r="AR95" s="369"/>
      <c r="AS95" s="369"/>
      <c r="AT95" s="369"/>
      <c r="AU95" s="369"/>
      <c r="AV95" s="369"/>
      <c r="AW95" s="495">
        <f t="shared" si="61"/>
        <v>84</v>
      </c>
      <c r="AX95" s="496" t="str">
        <f>CONCATENATE("Kartoffel ",AY95)</f>
        <v>Kartoffel Knolle</v>
      </c>
      <c r="AY95" s="522" t="s">
        <v>457</v>
      </c>
      <c r="AZ95" s="497">
        <v>22</v>
      </c>
      <c r="BA95" s="497" t="s">
        <v>189</v>
      </c>
      <c r="BB95" s="523">
        <v>0.35</v>
      </c>
      <c r="BC95" s="524">
        <v>0.14000000000000001</v>
      </c>
      <c r="BD95" s="525">
        <v>0.06</v>
      </c>
      <c r="BE95" s="526"/>
      <c r="BF95" s="493"/>
      <c r="BG95" s="493"/>
      <c r="BH95" s="494"/>
      <c r="BI95" s="369"/>
      <c r="BJ95" s="369"/>
      <c r="BK95" s="369"/>
      <c r="BL95" s="369"/>
      <c r="BM95" s="369"/>
      <c r="BN95" s="369"/>
      <c r="BO95" s="369"/>
      <c r="BP95" s="369"/>
      <c r="BQ95" s="369"/>
      <c r="BR95" s="369"/>
      <c r="BS95" s="369"/>
      <c r="BT95" s="369"/>
      <c r="BU95" s="369"/>
      <c r="BV95" s="369"/>
      <c r="BW95" s="369"/>
      <c r="BX95" s="369"/>
      <c r="BY95" s="369"/>
      <c r="BZ95" s="369"/>
      <c r="CB95" s="369"/>
      <c r="CC95" s="369"/>
      <c r="CD95" s="369"/>
      <c r="CE95" s="369"/>
      <c r="CF95" s="369"/>
      <c r="CG95" s="369"/>
      <c r="CH95" s="369"/>
      <c r="CI95" s="369"/>
      <c r="CJ95" s="369"/>
      <c r="CN95" s="368">
        <f t="shared" si="53"/>
        <v>0</v>
      </c>
      <c r="CO95" s="505">
        <f t="shared" si="54"/>
        <v>82</v>
      </c>
      <c r="CS95" s="532"/>
      <c r="CV95" s="368" t="str">
        <f t="shared" si="58"/>
        <v>Hackfrüchte</v>
      </c>
      <c r="CW95" s="505">
        <f t="shared" si="59"/>
        <v>83</v>
      </c>
    </row>
    <row r="96" spans="1:101" ht="18" customHeight="1" x14ac:dyDescent="0.2">
      <c r="A96" s="368"/>
      <c r="B96" s="369"/>
      <c r="C96" s="648">
        <f t="shared" si="60"/>
        <v>83</v>
      </c>
      <c r="D96" s="373"/>
      <c r="E96" s="650"/>
      <c r="F96" s="651"/>
      <c r="G96" s="652"/>
      <c r="H96" s="652"/>
      <c r="I96" s="652"/>
      <c r="J96" s="652"/>
      <c r="K96" s="652"/>
      <c r="L96" s="652"/>
      <c r="M96" s="652"/>
      <c r="N96" s="652"/>
      <c r="O96" s="652"/>
      <c r="P96" s="652"/>
      <c r="Q96" s="652">
        <v>0.7</v>
      </c>
      <c r="R96" s="652">
        <v>0.7</v>
      </c>
      <c r="S96" s="369"/>
      <c r="T96" s="369"/>
      <c r="U96" s="369"/>
      <c r="V96" s="369"/>
      <c r="W96" s="369"/>
      <c r="X96" s="369"/>
      <c r="Y96" s="369"/>
      <c r="Z96" s="369"/>
      <c r="AA96" s="369"/>
      <c r="AB96" s="369"/>
      <c r="AC96" s="369"/>
      <c r="AE96" s="369"/>
      <c r="AF96" s="369"/>
      <c r="AG96" s="369"/>
      <c r="AH96" s="369"/>
      <c r="AI96" s="369"/>
      <c r="AJ96" s="369"/>
      <c r="AK96" s="369"/>
      <c r="AL96" s="369"/>
      <c r="AM96" s="369"/>
      <c r="AN96" s="369"/>
      <c r="AO96" s="369"/>
      <c r="AP96" s="369"/>
      <c r="AQ96" s="369"/>
      <c r="AR96" s="369"/>
      <c r="AS96" s="369"/>
      <c r="AT96" s="369"/>
      <c r="AU96" s="369"/>
      <c r="AV96" s="369"/>
      <c r="AW96" s="495">
        <f t="shared" si="61"/>
        <v>85</v>
      </c>
      <c r="AX96" s="496" t="str">
        <f>CONCATENATE("Kartoffel ",AY96)</f>
        <v>Kartoffel Kraut</v>
      </c>
      <c r="AY96" s="522" t="s">
        <v>458</v>
      </c>
      <c r="AZ96" s="497">
        <v>15</v>
      </c>
      <c r="BA96" s="497" t="s">
        <v>189</v>
      </c>
      <c r="BB96" s="523">
        <v>0.2</v>
      </c>
      <c r="BC96" s="524">
        <v>0.04</v>
      </c>
      <c r="BD96" s="525">
        <v>0.02</v>
      </c>
      <c r="BE96" s="526"/>
      <c r="BF96" s="493"/>
      <c r="BG96" s="493"/>
      <c r="BH96" s="494"/>
      <c r="BI96" s="369"/>
      <c r="BJ96" s="369"/>
      <c r="BK96" s="369"/>
      <c r="BL96" s="369"/>
      <c r="BM96" s="369"/>
      <c r="BN96" s="369"/>
      <c r="BO96" s="369"/>
      <c r="BP96" s="369"/>
      <c r="BQ96" s="369"/>
      <c r="BR96" s="369"/>
      <c r="BS96" s="369"/>
      <c r="BT96" s="369"/>
      <c r="BU96" s="369"/>
      <c r="BV96" s="369"/>
      <c r="BW96" s="369"/>
      <c r="BX96" s="369"/>
      <c r="BY96" s="369"/>
      <c r="BZ96" s="369"/>
      <c r="CB96" s="369"/>
      <c r="CC96" s="369"/>
      <c r="CD96" s="369"/>
      <c r="CE96" s="369"/>
      <c r="CF96" s="369"/>
      <c r="CG96" s="369"/>
      <c r="CH96" s="369"/>
      <c r="CI96" s="369"/>
      <c r="CJ96" s="369"/>
      <c r="CN96" s="368">
        <f t="shared" si="53"/>
        <v>0</v>
      </c>
      <c r="CO96" s="505">
        <f t="shared" si="54"/>
        <v>83</v>
      </c>
      <c r="CS96" s="532"/>
      <c r="CV96" s="368" t="str">
        <f t="shared" si="58"/>
        <v>Kartoffel Knolle</v>
      </c>
      <c r="CW96" s="505">
        <f t="shared" si="59"/>
        <v>84</v>
      </c>
    </row>
    <row r="97" spans="1:101" ht="18" customHeight="1" x14ac:dyDescent="0.2">
      <c r="A97" s="368"/>
      <c r="B97" s="369"/>
      <c r="C97" s="648">
        <f t="shared" si="60"/>
        <v>84</v>
      </c>
      <c r="D97" s="373"/>
      <c r="E97" s="650"/>
      <c r="F97" s="651"/>
      <c r="G97" s="652"/>
      <c r="H97" s="652"/>
      <c r="I97" s="652"/>
      <c r="J97" s="652"/>
      <c r="K97" s="652"/>
      <c r="L97" s="652"/>
      <c r="M97" s="652"/>
      <c r="N97" s="652"/>
      <c r="O97" s="652"/>
      <c r="P97" s="652"/>
      <c r="Q97" s="652">
        <v>0.7</v>
      </c>
      <c r="R97" s="652">
        <v>0.7</v>
      </c>
      <c r="S97" s="369"/>
      <c r="T97" s="369"/>
      <c r="U97" s="369"/>
      <c r="V97" s="369"/>
      <c r="W97" s="369"/>
      <c r="X97" s="369"/>
      <c r="Y97" s="369"/>
      <c r="Z97" s="369"/>
      <c r="AA97" s="369"/>
      <c r="AB97" s="369"/>
      <c r="AC97" s="369"/>
      <c r="AE97" s="369"/>
      <c r="AF97" s="369"/>
      <c r="AG97" s="369"/>
      <c r="AH97" s="369"/>
      <c r="AI97" s="369"/>
      <c r="AJ97" s="369"/>
      <c r="AK97" s="369"/>
      <c r="AL97" s="369"/>
      <c r="AM97" s="369"/>
      <c r="AN97" s="369"/>
      <c r="AO97" s="369"/>
      <c r="AP97" s="369"/>
      <c r="AQ97" s="369"/>
      <c r="AR97" s="369"/>
      <c r="AS97" s="369"/>
      <c r="AT97" s="369"/>
      <c r="AU97" s="369"/>
      <c r="AV97" s="369"/>
      <c r="AW97" s="495">
        <f t="shared" si="61"/>
        <v>86</v>
      </c>
      <c r="AX97" s="496" t="str">
        <f>CONCATENATE("Kartoffel ",AY97)</f>
        <v>Kartoffel Knolle + Kraut3</v>
      </c>
      <c r="AY97" s="522" t="s">
        <v>459</v>
      </c>
      <c r="AZ97" s="497" t="s">
        <v>189</v>
      </c>
      <c r="BA97" s="497" t="s">
        <v>460</v>
      </c>
      <c r="BB97" s="523">
        <v>0.39</v>
      </c>
      <c r="BC97" s="524">
        <v>0.15</v>
      </c>
      <c r="BD97" s="525">
        <v>7.0000000000000007E-2</v>
      </c>
      <c r="BE97" s="526"/>
      <c r="BF97" s="493"/>
      <c r="BG97" s="493"/>
      <c r="BH97" s="494"/>
      <c r="BI97" s="369"/>
      <c r="BJ97" s="369"/>
      <c r="BK97" s="369"/>
      <c r="BL97" s="369"/>
      <c r="BM97" s="369"/>
      <c r="BN97" s="369"/>
      <c r="BO97" s="369"/>
      <c r="BP97" s="369"/>
      <c r="BQ97" s="369"/>
      <c r="BR97" s="369"/>
      <c r="BS97" s="369"/>
      <c r="BT97" s="369"/>
      <c r="BU97" s="369"/>
      <c r="BV97" s="369"/>
      <c r="BW97" s="369"/>
      <c r="BX97" s="369"/>
      <c r="BY97" s="369"/>
      <c r="BZ97" s="369"/>
      <c r="CB97" s="369"/>
      <c r="CC97" s="369"/>
      <c r="CD97" s="369"/>
      <c r="CE97" s="369"/>
      <c r="CF97" s="369"/>
      <c r="CG97" s="369"/>
      <c r="CH97" s="369"/>
      <c r="CI97" s="369"/>
      <c r="CJ97" s="369"/>
      <c r="CN97" s="368">
        <f t="shared" si="53"/>
        <v>0</v>
      </c>
      <c r="CO97" s="505">
        <f t="shared" si="54"/>
        <v>84</v>
      </c>
      <c r="CS97" s="532"/>
      <c r="CV97" s="368" t="str">
        <f t="shared" si="58"/>
        <v>Kartoffel Kraut</v>
      </c>
      <c r="CW97" s="505">
        <f t="shared" si="59"/>
        <v>85</v>
      </c>
    </row>
    <row r="98" spans="1:101" ht="18" customHeight="1" x14ac:dyDescent="0.2">
      <c r="A98" s="368"/>
      <c r="B98" s="369"/>
      <c r="C98" s="648">
        <f t="shared" si="60"/>
        <v>85</v>
      </c>
      <c r="D98" s="373"/>
      <c r="E98" s="650"/>
      <c r="F98" s="651"/>
      <c r="G98" s="652"/>
      <c r="H98" s="652"/>
      <c r="I98" s="652"/>
      <c r="J98" s="652"/>
      <c r="K98" s="652"/>
      <c r="L98" s="652"/>
      <c r="M98" s="652"/>
      <c r="N98" s="652"/>
      <c r="O98" s="652"/>
      <c r="P98" s="652"/>
      <c r="Q98" s="652">
        <v>0.7</v>
      </c>
      <c r="R98" s="652">
        <v>0.7</v>
      </c>
      <c r="S98" s="369"/>
      <c r="T98" s="369"/>
      <c r="U98" s="369"/>
      <c r="V98" s="369"/>
      <c r="W98" s="369"/>
      <c r="X98" s="369"/>
      <c r="Y98" s="369"/>
      <c r="Z98" s="369"/>
      <c r="AA98" s="369"/>
      <c r="AB98" s="369"/>
      <c r="AC98" s="369"/>
      <c r="AE98" s="369"/>
      <c r="AF98" s="369"/>
      <c r="AG98" s="369"/>
      <c r="AH98" s="369"/>
      <c r="AI98" s="369"/>
      <c r="AJ98" s="369"/>
      <c r="AK98" s="369"/>
      <c r="AL98" s="369"/>
      <c r="AM98" s="369"/>
      <c r="AN98" s="369"/>
      <c r="AO98" s="369"/>
      <c r="AP98" s="369"/>
      <c r="AQ98" s="369"/>
      <c r="AR98" s="369"/>
      <c r="AS98" s="369"/>
      <c r="AT98" s="369"/>
      <c r="AU98" s="369"/>
      <c r="AV98" s="369"/>
      <c r="AW98" s="495">
        <f t="shared" si="61"/>
        <v>87</v>
      </c>
      <c r="AX98" s="496" t="str">
        <f>CONCATENATE("Zuckerrübe ",AY98)</f>
        <v>Zuckerrübe Rübe</v>
      </c>
      <c r="AY98" s="522" t="s">
        <v>461</v>
      </c>
      <c r="AZ98" s="497">
        <v>23</v>
      </c>
      <c r="BA98" s="497" t="s">
        <v>189</v>
      </c>
      <c r="BB98" s="523">
        <v>0.18</v>
      </c>
      <c r="BC98" s="524">
        <v>0.1</v>
      </c>
      <c r="BD98" s="525">
        <v>0.04</v>
      </c>
      <c r="BE98" s="526"/>
      <c r="BF98" s="493"/>
      <c r="BG98" s="493"/>
      <c r="BH98" s="494"/>
      <c r="BI98" s="369"/>
      <c r="BJ98" s="369"/>
      <c r="BK98" s="369"/>
      <c r="BL98" s="369"/>
      <c r="BM98" s="369"/>
      <c r="BN98" s="369"/>
      <c r="BO98" s="369"/>
      <c r="BP98" s="369"/>
      <c r="BQ98" s="369"/>
      <c r="BR98" s="369"/>
      <c r="BS98" s="369"/>
      <c r="BT98" s="369"/>
      <c r="BU98" s="369"/>
      <c r="BV98" s="369"/>
      <c r="BW98" s="369"/>
      <c r="BX98" s="369"/>
      <c r="BY98" s="369"/>
      <c r="BZ98" s="369"/>
      <c r="CB98" s="369"/>
      <c r="CC98" s="369"/>
      <c r="CD98" s="369"/>
      <c r="CE98" s="369"/>
      <c r="CF98" s="369"/>
      <c r="CG98" s="369"/>
      <c r="CH98" s="369"/>
      <c r="CI98" s="369"/>
      <c r="CJ98" s="369"/>
      <c r="CN98" s="368">
        <f t="shared" si="53"/>
        <v>0</v>
      </c>
      <c r="CO98" s="505">
        <f t="shared" si="54"/>
        <v>85</v>
      </c>
      <c r="CS98" s="532"/>
      <c r="CV98" s="368" t="str">
        <f t="shared" si="58"/>
        <v>Kartoffel Knolle + Kraut3</v>
      </c>
      <c r="CW98" s="505">
        <f t="shared" si="59"/>
        <v>86</v>
      </c>
    </row>
    <row r="99" spans="1:101" ht="18" customHeight="1" x14ac:dyDescent="0.2">
      <c r="A99" s="368"/>
      <c r="B99" s="369"/>
      <c r="C99" s="648">
        <f t="shared" si="60"/>
        <v>86</v>
      </c>
      <c r="D99" s="373"/>
      <c r="E99" s="656"/>
      <c r="F99" s="651"/>
      <c r="G99" s="652"/>
      <c r="H99" s="652"/>
      <c r="I99" s="652"/>
      <c r="J99" s="652"/>
      <c r="K99" s="652"/>
      <c r="L99" s="652"/>
      <c r="M99" s="652"/>
      <c r="N99" s="652"/>
      <c r="O99" s="652"/>
      <c r="P99" s="652"/>
      <c r="Q99" s="652"/>
      <c r="R99" s="652"/>
      <c r="S99" s="369"/>
      <c r="T99" s="369"/>
      <c r="U99" s="369"/>
      <c r="V99" s="369"/>
      <c r="W99" s="369"/>
      <c r="X99" s="369"/>
      <c r="Y99" s="369"/>
      <c r="Z99" s="369"/>
      <c r="AA99" s="369"/>
      <c r="AB99" s="369"/>
      <c r="AC99" s="369"/>
      <c r="AE99" s="369"/>
      <c r="AF99" s="369"/>
      <c r="AG99" s="369"/>
      <c r="AH99" s="369"/>
      <c r="AI99" s="369"/>
      <c r="AJ99" s="369"/>
      <c r="AK99" s="369"/>
      <c r="AL99" s="369"/>
      <c r="AM99" s="369"/>
      <c r="AN99" s="369"/>
      <c r="AO99" s="369"/>
      <c r="AP99" s="369"/>
      <c r="AQ99" s="369"/>
      <c r="AR99" s="369"/>
      <c r="AS99" s="369"/>
      <c r="AT99" s="369"/>
      <c r="AU99" s="369"/>
      <c r="AV99" s="369"/>
      <c r="AW99" s="495">
        <f t="shared" si="61"/>
        <v>88</v>
      </c>
      <c r="AX99" s="496" t="str">
        <f>CONCATENATE("Zuckerrübe ",AY99)</f>
        <v>Zuckerrübe Blatt</v>
      </c>
      <c r="AY99" s="522" t="s">
        <v>462</v>
      </c>
      <c r="AZ99" s="497">
        <v>18</v>
      </c>
      <c r="BA99" s="497" t="s">
        <v>189</v>
      </c>
      <c r="BB99" s="523">
        <v>0.4</v>
      </c>
      <c r="BC99" s="524">
        <v>0.11</v>
      </c>
      <c r="BD99" s="525">
        <v>0.05</v>
      </c>
      <c r="BE99" s="526"/>
      <c r="BF99" s="493"/>
      <c r="BG99" s="493"/>
      <c r="BH99" s="494"/>
      <c r="BI99" s="369"/>
      <c r="BJ99" s="369"/>
      <c r="BK99" s="369"/>
      <c r="BL99" s="369"/>
      <c r="BM99" s="369"/>
      <c r="BN99" s="369"/>
      <c r="BO99" s="369"/>
      <c r="BP99" s="369"/>
      <c r="BQ99" s="369"/>
      <c r="BR99" s="369"/>
      <c r="BS99" s="369"/>
      <c r="BT99" s="369"/>
      <c r="BU99" s="369"/>
      <c r="BV99" s="369"/>
      <c r="BW99" s="369"/>
      <c r="BX99" s="369"/>
      <c r="BY99" s="369"/>
      <c r="BZ99" s="369"/>
      <c r="CB99" s="369"/>
      <c r="CC99" s="369"/>
      <c r="CD99" s="369"/>
      <c r="CE99" s="369"/>
      <c r="CF99" s="369"/>
      <c r="CG99" s="369"/>
      <c r="CH99" s="369"/>
      <c r="CI99" s="369"/>
      <c r="CJ99" s="369"/>
      <c r="CN99" s="368">
        <f t="shared" si="53"/>
        <v>0</v>
      </c>
      <c r="CO99" s="505">
        <f t="shared" si="54"/>
        <v>86</v>
      </c>
      <c r="CS99" s="532"/>
      <c r="CV99" s="368" t="str">
        <f t="shared" si="58"/>
        <v>Zuckerrübe Rübe</v>
      </c>
      <c r="CW99" s="505">
        <f t="shared" si="59"/>
        <v>87</v>
      </c>
    </row>
    <row r="100" spans="1:101" ht="18" customHeight="1" x14ac:dyDescent="0.2">
      <c r="A100" s="368"/>
      <c r="B100" s="369"/>
      <c r="C100" s="648">
        <f t="shared" si="60"/>
        <v>87</v>
      </c>
      <c r="D100" s="373"/>
      <c r="E100" s="656"/>
      <c r="F100" s="651"/>
      <c r="G100" s="652"/>
      <c r="H100" s="652"/>
      <c r="I100" s="652"/>
      <c r="J100" s="652"/>
      <c r="K100" s="652"/>
      <c r="L100" s="652"/>
      <c r="M100" s="652"/>
      <c r="N100" s="693"/>
      <c r="O100" s="693"/>
      <c r="P100" s="693"/>
      <c r="Q100" s="693"/>
      <c r="R100" s="693"/>
      <c r="S100" s="369"/>
      <c r="T100" s="369"/>
      <c r="U100" s="369"/>
      <c r="V100" s="369"/>
      <c r="W100" s="369"/>
      <c r="X100" s="369"/>
      <c r="Y100" s="369"/>
      <c r="Z100" s="369"/>
      <c r="AA100" s="369"/>
      <c r="AB100" s="369"/>
      <c r="AC100" s="369"/>
      <c r="AE100" s="369"/>
      <c r="AF100" s="369"/>
      <c r="AG100" s="369"/>
      <c r="AH100" s="369"/>
      <c r="AI100" s="369"/>
      <c r="AJ100" s="369"/>
      <c r="AK100" s="369"/>
      <c r="AL100" s="369"/>
      <c r="AM100" s="369"/>
      <c r="AN100" s="369"/>
      <c r="AO100" s="369"/>
      <c r="AP100" s="369"/>
      <c r="AQ100" s="369"/>
      <c r="AR100" s="369"/>
      <c r="AS100" s="369"/>
      <c r="AT100" s="369"/>
      <c r="AU100" s="369"/>
      <c r="AV100" s="369"/>
      <c r="AW100" s="495">
        <f t="shared" si="61"/>
        <v>89</v>
      </c>
      <c r="AX100" s="496" t="str">
        <f>CONCATENATE("Zuckerrübe ",AY100)</f>
        <v>Zuckerrübe Rübe + Blatt3</v>
      </c>
      <c r="AY100" s="522" t="s">
        <v>463</v>
      </c>
      <c r="AZ100" s="497" t="s">
        <v>189</v>
      </c>
      <c r="BA100" s="497">
        <v>0.7</v>
      </c>
      <c r="BB100" s="523">
        <v>0.46</v>
      </c>
      <c r="BC100" s="524">
        <v>0.18</v>
      </c>
      <c r="BD100" s="525">
        <v>0.08</v>
      </c>
      <c r="BE100" s="526"/>
      <c r="BF100" s="493"/>
      <c r="BG100" s="493"/>
      <c r="BH100" s="494"/>
      <c r="BI100" s="369"/>
      <c r="BJ100" s="369"/>
      <c r="BK100" s="369"/>
      <c r="BL100" s="369"/>
      <c r="BM100" s="369"/>
      <c r="BN100" s="369"/>
      <c r="BO100" s="369"/>
      <c r="BP100" s="369"/>
      <c r="BQ100" s="369"/>
      <c r="BR100" s="369"/>
      <c r="BS100" s="369"/>
      <c r="BT100" s="369"/>
      <c r="BU100" s="369"/>
      <c r="BV100" s="369"/>
      <c r="BW100" s="369"/>
      <c r="BX100" s="369"/>
      <c r="BY100" s="369"/>
      <c r="BZ100" s="369"/>
      <c r="CB100" s="369"/>
      <c r="CC100" s="369"/>
      <c r="CD100" s="369"/>
      <c r="CE100" s="369"/>
      <c r="CF100" s="369"/>
      <c r="CG100" s="369"/>
      <c r="CH100" s="369"/>
      <c r="CI100" s="369"/>
      <c r="CJ100" s="369"/>
      <c r="CN100" s="368">
        <f t="shared" si="53"/>
        <v>0</v>
      </c>
      <c r="CO100" s="505">
        <f t="shared" si="54"/>
        <v>87</v>
      </c>
      <c r="CS100" s="532"/>
      <c r="CV100" s="368" t="str">
        <f t="shared" si="58"/>
        <v>Zuckerrübe Blatt</v>
      </c>
      <c r="CW100" s="505">
        <f t="shared" si="59"/>
        <v>88</v>
      </c>
    </row>
    <row r="101" spans="1:101" ht="18" customHeight="1" x14ac:dyDescent="0.2">
      <c r="A101" s="368"/>
      <c r="B101" s="369"/>
      <c r="C101" s="617"/>
      <c r="D101" s="703"/>
      <c r="E101" s="704"/>
      <c r="F101" s="705"/>
      <c r="G101" s="706"/>
      <c r="H101" s="706"/>
      <c r="I101" s="706"/>
      <c r="J101" s="706"/>
      <c r="K101" s="1023"/>
      <c r="L101" s="1023"/>
      <c r="M101" s="1023"/>
      <c r="N101" s="1023"/>
      <c r="O101" s="1023"/>
      <c r="P101" s="707"/>
      <c r="Q101" s="707"/>
      <c r="R101" s="728"/>
      <c r="S101" s="369"/>
      <c r="T101" s="369"/>
      <c r="U101" s="369"/>
      <c r="V101" s="369"/>
      <c r="W101" s="369"/>
      <c r="X101" s="369"/>
      <c r="Y101" s="369"/>
      <c r="Z101" s="369"/>
      <c r="AA101" s="369"/>
      <c r="AB101" s="369"/>
      <c r="AC101" s="369"/>
      <c r="AE101" s="369"/>
      <c r="AF101" s="369"/>
      <c r="AG101" s="369"/>
      <c r="AH101" s="369"/>
      <c r="AI101" s="369"/>
      <c r="AJ101" s="369"/>
      <c r="AK101" s="369"/>
      <c r="AL101" s="369"/>
      <c r="AM101" s="369"/>
      <c r="AN101" s="369"/>
      <c r="AO101" s="369"/>
      <c r="AP101" s="369"/>
      <c r="AQ101" s="369"/>
      <c r="AR101" s="369"/>
      <c r="AS101" s="369"/>
      <c r="AT101" s="369"/>
      <c r="AU101" s="369"/>
      <c r="AV101" s="369"/>
      <c r="AW101" s="495">
        <f t="shared" si="61"/>
        <v>90</v>
      </c>
      <c r="AX101" s="496" t="str">
        <f>CONCATENATE("Gehaltsrübe ",AY101)</f>
        <v>Gehaltsrübe Rübe</v>
      </c>
      <c r="AY101" s="522" t="s">
        <v>461</v>
      </c>
      <c r="AZ101" s="497">
        <v>15</v>
      </c>
      <c r="BA101" s="497" t="s">
        <v>189</v>
      </c>
      <c r="BB101" s="523">
        <v>0.18</v>
      </c>
      <c r="BC101" s="524">
        <v>0.09</v>
      </c>
      <c r="BD101" s="525">
        <v>0.04</v>
      </c>
      <c r="BE101" s="526"/>
      <c r="BF101" s="493"/>
      <c r="BG101" s="493"/>
      <c r="BH101" s="494"/>
      <c r="BI101" s="369"/>
      <c r="BJ101" s="369"/>
      <c r="BK101" s="369"/>
      <c r="BL101" s="369"/>
      <c r="BM101" s="369"/>
      <c r="BN101" s="369"/>
      <c r="BO101" s="369"/>
      <c r="BP101" s="369"/>
      <c r="BQ101" s="369"/>
      <c r="BR101" s="369"/>
      <c r="BS101" s="369"/>
      <c r="BT101" s="369"/>
      <c r="BU101" s="369"/>
      <c r="BV101" s="369"/>
      <c r="BW101" s="369"/>
      <c r="BX101" s="369"/>
      <c r="BY101" s="369"/>
      <c r="BZ101" s="369"/>
      <c r="CB101" s="369"/>
      <c r="CC101" s="369"/>
      <c r="CD101" s="369"/>
      <c r="CE101" s="369"/>
      <c r="CF101" s="369"/>
      <c r="CG101" s="369"/>
      <c r="CH101" s="369"/>
      <c r="CI101" s="369"/>
      <c r="CJ101" s="369"/>
      <c r="CN101" s="368">
        <f t="shared" si="53"/>
        <v>0</v>
      </c>
      <c r="CO101" s="505">
        <f t="shared" si="54"/>
        <v>0</v>
      </c>
      <c r="CS101" s="532"/>
      <c r="CV101" s="368" t="str">
        <f t="shared" si="58"/>
        <v>Zuckerrübe Rübe + Blatt3</v>
      </c>
      <c r="CW101" s="505">
        <f t="shared" si="59"/>
        <v>89</v>
      </c>
    </row>
    <row r="102" spans="1:101" ht="18" customHeight="1" x14ac:dyDescent="0.2">
      <c r="A102" s="368"/>
      <c r="B102" s="369"/>
      <c r="C102" s="648">
        <v>88</v>
      </c>
      <c r="D102" s="649"/>
      <c r="E102" s="650"/>
      <c r="F102" s="651"/>
      <c r="G102" s="652"/>
      <c r="H102" s="652"/>
      <c r="I102" s="652"/>
      <c r="J102" s="652"/>
      <c r="K102" s="652"/>
      <c r="L102" s="652"/>
      <c r="M102" s="652"/>
      <c r="N102" s="652"/>
      <c r="O102" s="652"/>
      <c r="P102" s="652"/>
      <c r="Q102" s="653">
        <v>0.1</v>
      </c>
      <c r="R102" s="652">
        <v>0.1</v>
      </c>
      <c r="S102" s="369"/>
      <c r="T102" s="369"/>
      <c r="U102" s="369"/>
      <c r="V102" s="369"/>
      <c r="W102" s="369"/>
      <c r="X102" s="369"/>
      <c r="Y102" s="369"/>
      <c r="Z102" s="369"/>
      <c r="AA102" s="369"/>
      <c r="AB102" s="369"/>
      <c r="AC102" s="369"/>
      <c r="AE102" s="369"/>
      <c r="AF102" s="369"/>
      <c r="AG102" s="369"/>
      <c r="AH102" s="369"/>
      <c r="AI102" s="369"/>
      <c r="AJ102" s="369"/>
      <c r="AK102" s="369"/>
      <c r="AL102" s="369"/>
      <c r="AM102" s="369"/>
      <c r="AN102" s="369"/>
      <c r="AO102" s="369"/>
      <c r="AP102" s="369"/>
      <c r="AQ102" s="369"/>
      <c r="AR102" s="369"/>
      <c r="AS102" s="369"/>
      <c r="AT102" s="369"/>
      <c r="AU102" s="369"/>
      <c r="AV102" s="369"/>
      <c r="AW102" s="495">
        <f t="shared" si="61"/>
        <v>91</v>
      </c>
      <c r="AX102" s="496" t="str">
        <f>CONCATENATE("Gehaltsrübe ",AY102)</f>
        <v>Gehaltsrübe Blatt</v>
      </c>
      <c r="AY102" s="522" t="s">
        <v>462</v>
      </c>
      <c r="AZ102" s="497">
        <v>16</v>
      </c>
      <c r="BA102" s="497" t="s">
        <v>189</v>
      </c>
      <c r="BB102" s="523">
        <v>0.3</v>
      </c>
      <c r="BC102" s="524">
        <v>0.08</v>
      </c>
      <c r="BD102" s="525">
        <v>0.03</v>
      </c>
      <c r="BE102" s="526"/>
      <c r="BF102" s="493"/>
      <c r="BG102" s="493"/>
      <c r="BH102" s="494"/>
      <c r="BI102" s="369"/>
      <c r="BJ102" s="369"/>
      <c r="BK102" s="369"/>
      <c r="BL102" s="369"/>
      <c r="BM102" s="369"/>
      <c r="BN102" s="369"/>
      <c r="BO102" s="369"/>
      <c r="BP102" s="369"/>
      <c r="BQ102" s="369"/>
      <c r="BR102" s="369"/>
      <c r="BS102" s="369"/>
      <c r="BT102" s="369"/>
      <c r="BU102" s="369"/>
      <c r="BV102" s="369"/>
      <c r="BW102" s="369"/>
      <c r="BX102" s="369"/>
      <c r="BY102" s="369"/>
      <c r="BZ102" s="369"/>
      <c r="CB102" s="369"/>
      <c r="CC102" s="369"/>
      <c r="CD102" s="369"/>
      <c r="CE102" s="369"/>
      <c r="CF102" s="369"/>
      <c r="CG102" s="369"/>
      <c r="CH102" s="369"/>
      <c r="CI102" s="369"/>
      <c r="CJ102" s="369"/>
      <c r="CN102" s="368">
        <f t="shared" si="53"/>
        <v>0</v>
      </c>
      <c r="CO102" s="505">
        <f t="shared" si="54"/>
        <v>88</v>
      </c>
      <c r="CS102" s="532"/>
      <c r="CV102" s="368" t="str">
        <f t="shared" si="58"/>
        <v>Gehaltsrübe Rübe</v>
      </c>
      <c r="CW102" s="505">
        <f t="shared" si="59"/>
        <v>90</v>
      </c>
    </row>
    <row r="103" spans="1:101" ht="18" customHeight="1" x14ac:dyDescent="0.2">
      <c r="A103" s="368"/>
      <c r="B103" s="369"/>
      <c r="C103" s="648">
        <f>C102+1</f>
        <v>89</v>
      </c>
      <c r="D103" s="649"/>
      <c r="E103" s="656"/>
      <c r="F103" s="651"/>
      <c r="G103" s="652"/>
      <c r="H103" s="652"/>
      <c r="I103" s="652"/>
      <c r="J103" s="652"/>
      <c r="K103" s="652"/>
      <c r="L103" s="652"/>
      <c r="M103" s="652"/>
      <c r="N103" s="652"/>
      <c r="O103" s="652"/>
      <c r="P103" s="652"/>
      <c r="Q103" s="653"/>
      <c r="R103" s="652"/>
      <c r="S103" s="369"/>
      <c r="T103" s="369"/>
      <c r="U103" s="369"/>
      <c r="V103" s="369"/>
      <c r="W103" s="369"/>
      <c r="X103" s="369"/>
      <c r="Y103" s="369"/>
      <c r="Z103" s="369"/>
      <c r="AA103" s="369"/>
      <c r="AB103" s="369"/>
      <c r="AC103" s="369"/>
      <c r="AE103" s="369"/>
      <c r="AF103" s="369"/>
      <c r="AG103" s="369"/>
      <c r="AH103" s="369"/>
      <c r="AI103" s="369"/>
      <c r="AJ103" s="369"/>
      <c r="AK103" s="369"/>
      <c r="AL103" s="369"/>
      <c r="AM103" s="369"/>
      <c r="AN103" s="369"/>
      <c r="AO103" s="369"/>
      <c r="AP103" s="369"/>
      <c r="AQ103" s="369"/>
      <c r="AR103" s="369"/>
      <c r="AS103" s="369"/>
      <c r="AT103" s="369"/>
      <c r="AU103" s="369"/>
      <c r="AV103" s="369"/>
      <c r="AW103" s="495">
        <f t="shared" si="61"/>
        <v>92</v>
      </c>
      <c r="AX103" s="496" t="str">
        <f>CONCATENATE("Gehaltsrübe ",AY103)</f>
        <v>Gehaltsrübe Rübe+ Blatt3</v>
      </c>
      <c r="AY103" s="522" t="s">
        <v>464</v>
      </c>
      <c r="AZ103" s="497" t="s">
        <v>189</v>
      </c>
      <c r="BA103" s="497">
        <v>0.4</v>
      </c>
      <c r="BB103" s="523">
        <v>0.3</v>
      </c>
      <c r="BC103" s="524">
        <v>0.12</v>
      </c>
      <c r="BD103" s="525">
        <v>0.05</v>
      </c>
      <c r="BE103" s="526"/>
      <c r="BF103" s="493"/>
      <c r="BG103" s="493"/>
      <c r="BH103" s="494"/>
      <c r="BI103" s="369"/>
      <c r="BJ103" s="369"/>
      <c r="BK103" s="369"/>
      <c r="BL103" s="369"/>
      <c r="BM103" s="369"/>
      <c r="BN103" s="369"/>
      <c r="BO103" s="369"/>
      <c r="BP103" s="369"/>
      <c r="BQ103" s="369"/>
      <c r="BR103" s="369"/>
      <c r="BS103" s="369"/>
      <c r="BT103" s="369"/>
      <c r="BU103" s="369"/>
      <c r="BV103" s="369"/>
      <c r="BW103" s="369"/>
      <c r="BX103" s="369"/>
      <c r="BY103" s="369"/>
      <c r="BZ103" s="369"/>
      <c r="CB103" s="369"/>
      <c r="CC103" s="369"/>
      <c r="CD103" s="369"/>
      <c r="CE103" s="369"/>
      <c r="CF103" s="369"/>
      <c r="CG103" s="369"/>
      <c r="CH103" s="369"/>
      <c r="CI103" s="369"/>
      <c r="CJ103" s="369"/>
      <c r="CN103" s="368">
        <f t="shared" si="53"/>
        <v>0</v>
      </c>
      <c r="CO103" s="505">
        <f t="shared" si="54"/>
        <v>89</v>
      </c>
      <c r="CS103" s="532"/>
      <c r="CV103" s="368" t="str">
        <f t="shared" si="58"/>
        <v>Gehaltsrübe Blatt</v>
      </c>
      <c r="CW103" s="505">
        <f t="shared" si="59"/>
        <v>91</v>
      </c>
    </row>
    <row r="104" spans="1:101" ht="18" customHeight="1" x14ac:dyDescent="0.2">
      <c r="A104" s="368"/>
      <c r="B104" s="369"/>
      <c r="C104" s="648">
        <f>C103+1</f>
        <v>90</v>
      </c>
      <c r="D104" s="649"/>
      <c r="E104" s="656"/>
      <c r="F104" s="651"/>
      <c r="G104" s="652"/>
      <c r="H104" s="652"/>
      <c r="I104" s="652"/>
      <c r="J104" s="652"/>
      <c r="K104" s="652"/>
      <c r="L104" s="652"/>
      <c r="M104" s="652"/>
      <c r="N104" s="693"/>
      <c r="O104" s="693"/>
      <c r="P104" s="693"/>
      <c r="Q104" s="653"/>
      <c r="R104" s="693"/>
      <c r="S104" s="369"/>
      <c r="T104" s="369"/>
      <c r="U104" s="369"/>
      <c r="V104" s="369"/>
      <c r="W104" s="369"/>
      <c r="X104" s="369"/>
      <c r="Y104" s="369"/>
      <c r="Z104" s="369"/>
      <c r="AA104" s="369"/>
      <c r="AB104" s="369"/>
      <c r="AC104" s="369"/>
      <c r="AE104" s="369"/>
      <c r="AF104" s="369"/>
      <c r="AG104" s="369"/>
      <c r="AH104" s="369"/>
      <c r="AI104" s="369"/>
      <c r="AJ104" s="369"/>
      <c r="AK104" s="369"/>
      <c r="AL104" s="369"/>
      <c r="AM104" s="369"/>
      <c r="AN104" s="369"/>
      <c r="AO104" s="369"/>
      <c r="AP104" s="369"/>
      <c r="AQ104" s="369"/>
      <c r="AR104" s="369"/>
      <c r="AS104" s="369"/>
      <c r="AT104" s="369"/>
      <c r="AU104" s="369"/>
      <c r="AV104" s="369"/>
      <c r="AW104" s="495">
        <f t="shared" si="61"/>
        <v>93</v>
      </c>
      <c r="AX104" s="496" t="str">
        <f>CONCATENATE("Massenrübe ",AY104)</f>
        <v>Massenrübe Rübe</v>
      </c>
      <c r="AY104" s="522" t="s">
        <v>461</v>
      </c>
      <c r="AZ104" s="497">
        <v>12</v>
      </c>
      <c r="BA104" s="497" t="s">
        <v>189</v>
      </c>
      <c r="BB104" s="523">
        <v>0.14000000000000001</v>
      </c>
      <c r="BC104" s="524">
        <v>7.0000000000000007E-2</v>
      </c>
      <c r="BD104" s="525">
        <v>0.03</v>
      </c>
      <c r="BE104" s="526"/>
      <c r="BF104" s="493"/>
      <c r="BG104" s="493"/>
      <c r="BH104" s="494"/>
      <c r="BI104" s="369"/>
      <c r="BJ104" s="369"/>
      <c r="BK104" s="369"/>
      <c r="BL104" s="369"/>
      <c r="BM104" s="369"/>
      <c r="BN104" s="369"/>
      <c r="BO104" s="369"/>
      <c r="BP104" s="369"/>
      <c r="BQ104" s="369"/>
      <c r="BR104" s="369"/>
      <c r="BS104" s="369"/>
      <c r="BT104" s="369"/>
      <c r="BU104" s="369"/>
      <c r="BV104" s="369"/>
      <c r="BW104" s="369"/>
      <c r="BX104" s="369"/>
      <c r="BY104" s="369"/>
      <c r="BZ104" s="369"/>
      <c r="CB104" s="369"/>
      <c r="CC104" s="369"/>
      <c r="CD104" s="369"/>
      <c r="CE104" s="369"/>
      <c r="CF104" s="369"/>
      <c r="CG104" s="369"/>
      <c r="CH104" s="369"/>
      <c r="CI104" s="369"/>
      <c r="CJ104" s="369"/>
      <c r="CN104" s="368">
        <f t="shared" si="53"/>
        <v>0</v>
      </c>
      <c r="CO104" s="505">
        <f t="shared" si="54"/>
        <v>90</v>
      </c>
      <c r="CS104" s="532"/>
      <c r="CV104" s="368" t="str">
        <f t="shared" si="58"/>
        <v>Gehaltsrübe Rübe+ Blatt3</v>
      </c>
      <c r="CW104" s="505">
        <f t="shared" si="59"/>
        <v>92</v>
      </c>
    </row>
    <row r="105" spans="1:101" ht="18" customHeight="1" x14ac:dyDescent="0.2">
      <c r="A105" s="368"/>
      <c r="B105" s="369"/>
      <c r="C105" s="617"/>
      <c r="D105" s="380"/>
      <c r="E105" s="380"/>
      <c r="F105" s="380"/>
      <c r="G105" s="380"/>
      <c r="H105" s="380"/>
      <c r="I105" s="380"/>
      <c r="J105" s="380"/>
      <c r="K105" s="380"/>
      <c r="L105" s="380"/>
      <c r="M105" s="729"/>
      <c r="N105" s="730"/>
      <c r="O105" s="730"/>
      <c r="P105" s="731"/>
      <c r="Q105" s="1026" t="s">
        <v>391</v>
      </c>
      <c r="R105" s="1026"/>
      <c r="S105" s="369"/>
      <c r="T105" s="369"/>
      <c r="U105" s="369"/>
      <c r="V105" s="369"/>
      <c r="W105" s="369"/>
      <c r="X105" s="369"/>
      <c r="Y105" s="369"/>
      <c r="Z105" s="369"/>
      <c r="AA105" s="369"/>
      <c r="AB105" s="369"/>
      <c r="AC105" s="369"/>
      <c r="AE105" s="369"/>
      <c r="AF105" s="369"/>
      <c r="AG105" s="369"/>
      <c r="AH105" s="369"/>
      <c r="AI105" s="369"/>
      <c r="AJ105" s="369"/>
      <c r="AK105" s="369"/>
      <c r="AL105" s="369"/>
      <c r="AM105" s="369"/>
      <c r="AN105" s="369"/>
      <c r="AO105" s="369"/>
      <c r="AP105" s="369"/>
      <c r="AQ105" s="369"/>
      <c r="AR105" s="369"/>
      <c r="AS105" s="369"/>
      <c r="AT105" s="369"/>
      <c r="AU105" s="369"/>
      <c r="AV105" s="369"/>
      <c r="AW105" s="495">
        <f t="shared" si="61"/>
        <v>94</v>
      </c>
      <c r="AX105" s="496" t="str">
        <f>CONCATENATE("Massenrübe ",AY105)</f>
        <v>Massenrübe Blatt</v>
      </c>
      <c r="AY105" s="522" t="s">
        <v>462</v>
      </c>
      <c r="AZ105" s="497">
        <v>16</v>
      </c>
      <c r="BA105" s="497" t="s">
        <v>189</v>
      </c>
      <c r="BB105" s="523">
        <v>0.25</v>
      </c>
      <c r="BC105" s="524">
        <v>0.06</v>
      </c>
      <c r="BD105" s="525">
        <v>0.02</v>
      </c>
      <c r="BE105" s="526"/>
      <c r="BF105" s="493"/>
      <c r="BG105" s="493"/>
      <c r="BH105" s="494"/>
      <c r="BI105" s="369"/>
      <c r="BJ105" s="369"/>
      <c r="BK105" s="369"/>
      <c r="BL105" s="369"/>
      <c r="BM105" s="369"/>
      <c r="BN105" s="369"/>
      <c r="BO105" s="369"/>
      <c r="BP105" s="369"/>
      <c r="BQ105" s="369"/>
      <c r="BR105" s="369"/>
      <c r="BS105" s="369"/>
      <c r="BT105" s="369"/>
      <c r="BU105" s="369"/>
      <c r="BV105" s="369"/>
      <c r="BW105" s="369"/>
      <c r="BX105" s="369"/>
      <c r="BY105" s="369"/>
      <c r="BZ105" s="369"/>
      <c r="CB105" s="369"/>
      <c r="CC105" s="369"/>
      <c r="CD105" s="369"/>
      <c r="CE105" s="369"/>
      <c r="CF105" s="369"/>
      <c r="CG105" s="369"/>
      <c r="CH105" s="369"/>
      <c r="CI105" s="369"/>
      <c r="CJ105" s="369"/>
      <c r="CN105" s="368">
        <f t="shared" si="53"/>
        <v>0</v>
      </c>
      <c r="CO105" s="505">
        <f t="shared" si="54"/>
        <v>0</v>
      </c>
      <c r="CS105" s="532"/>
      <c r="CV105" s="368" t="str">
        <f t="shared" si="58"/>
        <v>Massenrübe Rübe</v>
      </c>
      <c r="CW105" s="505">
        <f t="shared" si="59"/>
        <v>93</v>
      </c>
    </row>
    <row r="106" spans="1:101" ht="18" customHeight="1" x14ac:dyDescent="0.2">
      <c r="A106" s="368"/>
      <c r="B106" s="369"/>
      <c r="C106" s="648">
        <v>91</v>
      </c>
      <c r="D106" s="373"/>
      <c r="E106" s="650"/>
      <c r="F106" s="709"/>
      <c r="G106" s="710"/>
      <c r="H106" s="710"/>
      <c r="I106" s="710"/>
      <c r="J106" s="710"/>
      <c r="K106" s="710"/>
      <c r="L106" s="710"/>
      <c r="M106" s="710"/>
      <c r="N106" s="710"/>
      <c r="O106" s="710"/>
      <c r="P106" s="710"/>
      <c r="Q106" s="710">
        <v>0.3</v>
      </c>
      <c r="R106" s="710"/>
      <c r="S106" s="369"/>
      <c r="T106" s="369"/>
      <c r="U106" s="369"/>
      <c r="V106" s="369"/>
      <c r="W106" s="369"/>
      <c r="X106" s="369"/>
      <c r="Y106" s="369"/>
      <c r="Z106" s="369"/>
      <c r="AA106" s="369"/>
      <c r="AB106" s="369"/>
      <c r="AC106" s="369"/>
      <c r="AE106" s="369"/>
      <c r="AF106" s="369"/>
      <c r="AG106" s="369"/>
      <c r="AH106" s="369"/>
      <c r="AI106" s="369"/>
      <c r="AJ106" s="369"/>
      <c r="AK106" s="369"/>
      <c r="AL106" s="369"/>
      <c r="AM106" s="369"/>
      <c r="AN106" s="369"/>
      <c r="AO106" s="369"/>
      <c r="AP106" s="369"/>
      <c r="AQ106" s="369"/>
      <c r="AR106" s="369"/>
      <c r="AS106" s="369"/>
      <c r="AT106" s="369"/>
      <c r="AU106" s="369"/>
      <c r="AV106" s="369"/>
      <c r="AW106" s="495">
        <f t="shared" si="61"/>
        <v>95</v>
      </c>
      <c r="AX106" s="554" t="str">
        <f>CONCATENATE("Massenrübe ",AY106)</f>
        <v>Massenrübe Rübe + Blatt3</v>
      </c>
      <c r="AY106" s="555" t="s">
        <v>463</v>
      </c>
      <c r="AZ106" s="556" t="s">
        <v>189</v>
      </c>
      <c r="BA106" s="556">
        <v>0.4</v>
      </c>
      <c r="BB106" s="557">
        <v>0.24</v>
      </c>
      <c r="BC106" s="558">
        <v>0.09</v>
      </c>
      <c r="BD106" s="559">
        <v>0.04</v>
      </c>
      <c r="BE106" s="526"/>
      <c r="BF106" s="493"/>
      <c r="BG106" s="493"/>
      <c r="BH106" s="494"/>
      <c r="BI106" s="369"/>
      <c r="BJ106" s="369"/>
      <c r="BK106" s="369"/>
      <c r="BL106" s="369"/>
      <c r="BM106" s="369"/>
      <c r="BN106" s="369"/>
      <c r="BO106" s="369"/>
      <c r="BP106" s="369"/>
      <c r="BQ106" s="369"/>
      <c r="BR106" s="369"/>
      <c r="BS106" s="369"/>
      <c r="BT106" s="369"/>
      <c r="BU106" s="369"/>
      <c r="BV106" s="369"/>
      <c r="BW106" s="369"/>
      <c r="BX106" s="369"/>
      <c r="BY106" s="369"/>
      <c r="BZ106" s="369"/>
      <c r="CB106" s="369"/>
      <c r="CC106" s="369"/>
      <c r="CD106" s="369"/>
      <c r="CE106" s="369"/>
      <c r="CF106" s="369"/>
      <c r="CG106" s="369"/>
      <c r="CH106" s="369"/>
      <c r="CI106" s="369"/>
      <c r="CJ106" s="369"/>
      <c r="CN106" s="368">
        <f t="shared" ref="CN106:CN116" si="62">D106</f>
        <v>0</v>
      </c>
      <c r="CO106" s="505">
        <f t="shared" ref="CO106:CO116" si="63">C106</f>
        <v>91</v>
      </c>
      <c r="CS106" s="532"/>
      <c r="CV106" s="368" t="str">
        <f t="shared" si="58"/>
        <v>Massenrübe Blatt</v>
      </c>
      <c r="CW106" s="505">
        <f t="shared" si="59"/>
        <v>94</v>
      </c>
    </row>
    <row r="107" spans="1:101" ht="18" customHeight="1" x14ac:dyDescent="0.2">
      <c r="A107" s="368"/>
      <c r="B107" s="369"/>
      <c r="C107" s="648">
        <f>C106+1</f>
        <v>92</v>
      </c>
      <c r="D107" s="649"/>
      <c r="E107" s="650"/>
      <c r="F107" s="709"/>
      <c r="G107" s="710"/>
      <c r="H107" s="710"/>
      <c r="I107" s="710"/>
      <c r="J107" s="710"/>
      <c r="K107" s="710"/>
      <c r="L107" s="710"/>
      <c r="M107" s="710"/>
      <c r="N107" s="710"/>
      <c r="O107" s="710"/>
      <c r="P107" s="710"/>
      <c r="Q107" s="710">
        <v>0.3</v>
      </c>
      <c r="R107" s="710"/>
      <c r="S107" s="369"/>
      <c r="T107" s="369"/>
      <c r="U107" s="369"/>
      <c r="V107" s="369"/>
      <c r="W107" s="369"/>
      <c r="X107" s="369"/>
      <c r="Y107" s="369"/>
      <c r="Z107" s="369"/>
      <c r="AA107" s="369"/>
      <c r="AB107" s="369"/>
      <c r="AC107" s="369"/>
      <c r="AE107" s="369"/>
      <c r="AF107" s="369"/>
      <c r="AG107" s="369"/>
      <c r="AH107" s="369"/>
      <c r="AI107" s="369"/>
      <c r="AJ107" s="369"/>
      <c r="AK107" s="369"/>
      <c r="AL107" s="369"/>
      <c r="AM107" s="369"/>
      <c r="AN107" s="369"/>
      <c r="AO107" s="369"/>
      <c r="AP107" s="369"/>
      <c r="AQ107" s="369"/>
      <c r="AR107" s="369"/>
      <c r="AS107" s="369"/>
      <c r="AT107" s="369"/>
      <c r="AU107" s="369"/>
      <c r="AV107" s="369"/>
      <c r="AW107" s="495">
        <f t="shared" si="61"/>
        <v>96</v>
      </c>
      <c r="AX107" s="564" t="s">
        <v>465</v>
      </c>
      <c r="AY107" s="565"/>
      <c r="AZ107" s="566"/>
      <c r="BA107" s="566"/>
      <c r="BB107" s="567"/>
      <c r="BC107" s="568"/>
      <c r="BD107" s="569"/>
      <c r="BE107" s="526"/>
      <c r="BF107" s="493"/>
      <c r="BG107" s="493"/>
      <c r="BH107" s="494"/>
      <c r="BI107" s="369"/>
      <c r="BJ107" s="369"/>
      <c r="BK107" s="369"/>
      <c r="BL107" s="369"/>
      <c r="BM107" s="369"/>
      <c r="BN107" s="369"/>
      <c r="BO107" s="369"/>
      <c r="BP107" s="369"/>
      <c r="BQ107" s="369"/>
      <c r="BR107" s="369"/>
      <c r="BS107" s="369"/>
      <c r="BT107" s="369"/>
      <c r="BU107" s="369"/>
      <c r="BV107" s="369"/>
      <c r="BW107" s="369"/>
      <c r="BX107" s="369"/>
      <c r="BY107" s="369"/>
      <c r="BZ107" s="369"/>
      <c r="CB107" s="369"/>
      <c r="CC107" s="369"/>
      <c r="CD107" s="369"/>
      <c r="CE107" s="369"/>
      <c r="CF107" s="369"/>
      <c r="CG107" s="369"/>
      <c r="CH107" s="369"/>
      <c r="CI107" s="369"/>
      <c r="CJ107" s="369"/>
      <c r="CN107" s="368">
        <f t="shared" si="62"/>
        <v>0</v>
      </c>
      <c r="CO107" s="505">
        <f t="shared" si="63"/>
        <v>92</v>
      </c>
      <c r="CS107" s="532"/>
      <c r="CV107" s="368" t="str">
        <f t="shared" ref="CV107:CV129" si="64">AX106</f>
        <v>Massenrübe Rübe + Blatt3</v>
      </c>
      <c r="CW107" s="505">
        <f t="shared" ref="CW107:CW129" si="65">AW106</f>
        <v>95</v>
      </c>
    </row>
    <row r="108" spans="1:101" ht="18" customHeight="1" x14ac:dyDescent="0.2">
      <c r="A108" s="368"/>
      <c r="B108" s="369"/>
      <c r="C108" s="648">
        <f>C107+1</f>
        <v>93</v>
      </c>
      <c r="D108" s="649"/>
      <c r="E108" s="650"/>
      <c r="F108" s="709"/>
      <c r="G108" s="710"/>
      <c r="H108" s="710"/>
      <c r="I108" s="710"/>
      <c r="J108" s="710"/>
      <c r="K108" s="710"/>
      <c r="L108" s="710"/>
      <c r="M108" s="710"/>
      <c r="N108" s="710"/>
      <c r="O108" s="710"/>
      <c r="P108" s="710"/>
      <c r="Q108" s="710">
        <v>0.3</v>
      </c>
      <c r="R108" s="710"/>
      <c r="S108" s="369"/>
      <c r="T108" s="369"/>
      <c r="U108" s="369"/>
      <c r="V108" s="369"/>
      <c r="W108" s="369"/>
      <c r="X108" s="369"/>
      <c r="Y108" s="369"/>
      <c r="Z108" s="369"/>
      <c r="AA108" s="369"/>
      <c r="AB108" s="369"/>
      <c r="AC108" s="369"/>
      <c r="AE108" s="369"/>
      <c r="AF108" s="369"/>
      <c r="AG108" s="369"/>
      <c r="AH108" s="369"/>
      <c r="AI108" s="369"/>
      <c r="AJ108" s="369"/>
      <c r="AK108" s="369"/>
      <c r="AL108" s="369"/>
      <c r="AM108" s="369"/>
      <c r="AN108" s="369"/>
      <c r="AO108" s="369"/>
      <c r="AP108" s="369"/>
      <c r="AQ108" s="369"/>
      <c r="AR108" s="369"/>
      <c r="AS108" s="369"/>
      <c r="AT108" s="369"/>
      <c r="AU108" s="369"/>
      <c r="AV108" s="369"/>
      <c r="AW108" s="495">
        <f t="shared" si="61"/>
        <v>97</v>
      </c>
      <c r="AX108" s="496" t="str">
        <f>CONCATENATE("Silomais 28% ",AY108)</f>
        <v>Silomais 28% Ganzpflanze</v>
      </c>
      <c r="AY108" s="522" t="s">
        <v>452</v>
      </c>
      <c r="AZ108" s="497">
        <v>28</v>
      </c>
      <c r="BA108" s="497" t="s">
        <v>189</v>
      </c>
      <c r="BB108" s="579">
        <v>0.38</v>
      </c>
      <c r="BC108" s="524">
        <v>0.16</v>
      </c>
      <c r="BD108" s="525">
        <v>7.0000000000000007E-2</v>
      </c>
      <c r="BE108" s="526"/>
      <c r="BF108" s="493"/>
      <c r="BG108" s="493"/>
      <c r="BH108" s="494"/>
      <c r="BI108" s="369"/>
      <c r="BJ108" s="369"/>
      <c r="BK108" s="369"/>
      <c r="BL108" s="369"/>
      <c r="BM108" s="369"/>
      <c r="BN108" s="369"/>
      <c r="BO108" s="369"/>
      <c r="BP108" s="369"/>
      <c r="BQ108" s="369"/>
      <c r="BR108" s="369"/>
      <c r="BS108" s="369"/>
      <c r="BT108" s="369"/>
      <c r="BU108" s="369"/>
      <c r="BV108" s="369"/>
      <c r="BW108" s="369"/>
      <c r="BX108" s="369"/>
      <c r="BY108" s="369"/>
      <c r="BZ108" s="369"/>
      <c r="CB108" s="369"/>
      <c r="CC108" s="369"/>
      <c r="CD108" s="369"/>
      <c r="CE108" s="369"/>
      <c r="CF108" s="369"/>
      <c r="CG108" s="369"/>
      <c r="CH108" s="369"/>
      <c r="CI108" s="369"/>
      <c r="CJ108" s="369"/>
      <c r="CN108" s="368">
        <f t="shared" si="62"/>
        <v>0</v>
      </c>
      <c r="CO108" s="505">
        <f t="shared" si="63"/>
        <v>93</v>
      </c>
      <c r="CS108" s="532"/>
      <c r="CV108" s="368" t="str">
        <f t="shared" si="64"/>
        <v>Futterpflanzen</v>
      </c>
      <c r="CW108" s="505">
        <f t="shared" si="65"/>
        <v>96</v>
      </c>
    </row>
    <row r="109" spans="1:101" ht="18" customHeight="1" x14ac:dyDescent="0.2">
      <c r="A109" s="368"/>
      <c r="B109" s="369"/>
      <c r="C109" s="648">
        <f>C108+1</f>
        <v>94</v>
      </c>
      <c r="D109" s="649"/>
      <c r="E109" s="656"/>
      <c r="F109" s="709"/>
      <c r="G109" s="710"/>
      <c r="H109" s="710"/>
      <c r="I109" s="710"/>
      <c r="J109" s="710"/>
      <c r="K109" s="710"/>
      <c r="L109" s="710"/>
      <c r="M109" s="710"/>
      <c r="N109" s="710"/>
      <c r="O109" s="710"/>
      <c r="P109" s="710"/>
      <c r="Q109" s="710"/>
      <c r="R109" s="710"/>
      <c r="S109" s="369"/>
      <c r="T109" s="369"/>
      <c r="U109" s="369"/>
      <c r="V109" s="369"/>
      <c r="W109" s="369"/>
      <c r="X109" s="369"/>
      <c r="Y109" s="369"/>
      <c r="Z109" s="369"/>
      <c r="AA109" s="369"/>
      <c r="AB109" s="369"/>
      <c r="AC109" s="369"/>
      <c r="AE109" s="369"/>
      <c r="AF109" s="369"/>
      <c r="AG109" s="369"/>
      <c r="AH109" s="369"/>
      <c r="AI109" s="369"/>
      <c r="AJ109" s="369"/>
      <c r="AK109" s="369"/>
      <c r="AL109" s="369"/>
      <c r="AM109" s="369"/>
      <c r="AN109" s="369"/>
      <c r="AO109" s="369"/>
      <c r="AP109" s="369"/>
      <c r="AQ109" s="369"/>
      <c r="AR109" s="369"/>
      <c r="AS109" s="369"/>
      <c r="AT109" s="369"/>
      <c r="AU109" s="369"/>
      <c r="AV109" s="369"/>
      <c r="AW109" s="495">
        <f t="shared" si="61"/>
        <v>98</v>
      </c>
      <c r="AX109" s="496" t="str">
        <f>CONCATENATE("Silomais 35% ",AY109)</f>
        <v>Silomais 35% Ganzpflanze</v>
      </c>
      <c r="AY109" s="522" t="s">
        <v>452</v>
      </c>
      <c r="AZ109" s="497">
        <v>35</v>
      </c>
      <c r="BA109" s="497" t="s">
        <v>189</v>
      </c>
      <c r="BB109" s="523">
        <v>0.47</v>
      </c>
      <c r="BC109" s="524">
        <v>0.18</v>
      </c>
      <c r="BD109" s="525">
        <v>0.08</v>
      </c>
      <c r="BE109" s="526"/>
      <c r="BF109" s="493"/>
      <c r="BG109" s="493"/>
      <c r="BH109" s="494"/>
      <c r="BI109" s="369"/>
      <c r="BJ109" s="369"/>
      <c r="BK109" s="369"/>
      <c r="BL109" s="369"/>
      <c r="BM109" s="369"/>
      <c r="BN109" s="369"/>
      <c r="BO109" s="369"/>
      <c r="BP109" s="369"/>
      <c r="BQ109" s="369"/>
      <c r="BR109" s="369"/>
      <c r="BS109" s="369"/>
      <c r="BT109" s="369"/>
      <c r="BU109" s="369"/>
      <c r="BV109" s="369"/>
      <c r="BW109" s="369"/>
      <c r="BX109" s="369"/>
      <c r="BY109" s="369"/>
      <c r="BZ109" s="369"/>
      <c r="CB109" s="369"/>
      <c r="CC109" s="369"/>
      <c r="CD109" s="369"/>
      <c r="CE109" s="369"/>
      <c r="CF109" s="369"/>
      <c r="CG109" s="369"/>
      <c r="CH109" s="369"/>
      <c r="CI109" s="369"/>
      <c r="CJ109" s="369"/>
      <c r="CN109" s="368">
        <f t="shared" si="62"/>
        <v>0</v>
      </c>
      <c r="CO109" s="505">
        <f t="shared" si="63"/>
        <v>94</v>
      </c>
      <c r="CS109" s="532"/>
      <c r="CV109" s="368" t="str">
        <f t="shared" si="64"/>
        <v>Silomais 28% Ganzpflanze</v>
      </c>
      <c r="CW109" s="505">
        <f t="shared" si="65"/>
        <v>97</v>
      </c>
    </row>
    <row r="110" spans="1:101" ht="18" customHeight="1" x14ac:dyDescent="0.2">
      <c r="A110" s="368"/>
      <c r="B110" s="369"/>
      <c r="C110" s="648">
        <f>C109+1</f>
        <v>95</v>
      </c>
      <c r="D110" s="649"/>
      <c r="E110" s="656"/>
      <c r="F110" s="709"/>
      <c r="G110" s="710"/>
      <c r="H110" s="710"/>
      <c r="I110" s="710"/>
      <c r="J110" s="710"/>
      <c r="K110" s="710"/>
      <c r="L110" s="710"/>
      <c r="M110" s="710"/>
      <c r="N110" s="652"/>
      <c r="O110" s="652"/>
      <c r="P110" s="652"/>
      <c r="Q110" s="652"/>
      <c r="R110" s="652"/>
      <c r="S110" s="369"/>
      <c r="T110" s="369"/>
      <c r="U110" s="369"/>
      <c r="V110" s="369"/>
      <c r="W110" s="369"/>
      <c r="X110" s="369"/>
      <c r="Y110" s="369"/>
      <c r="Z110" s="369"/>
      <c r="AA110" s="369"/>
      <c r="AB110" s="369"/>
      <c r="AC110" s="369"/>
      <c r="AE110" s="369"/>
      <c r="AF110" s="369"/>
      <c r="AG110" s="369"/>
      <c r="AH110" s="369"/>
      <c r="AI110" s="369"/>
      <c r="AJ110" s="369"/>
      <c r="AK110" s="369"/>
      <c r="AL110" s="369"/>
      <c r="AM110" s="369"/>
      <c r="AN110" s="369"/>
      <c r="AO110" s="369"/>
      <c r="AP110" s="369"/>
      <c r="AQ110" s="369"/>
      <c r="AR110" s="369"/>
      <c r="AS110" s="369"/>
      <c r="AT110" s="369"/>
      <c r="AU110" s="369"/>
      <c r="AV110" s="369"/>
      <c r="AW110" s="495">
        <f t="shared" si="61"/>
        <v>99</v>
      </c>
      <c r="AX110" s="496" t="s">
        <v>466</v>
      </c>
      <c r="AY110" s="522" t="s">
        <v>452</v>
      </c>
      <c r="AZ110" s="497">
        <v>20</v>
      </c>
      <c r="BA110" s="497" t="s">
        <v>189</v>
      </c>
      <c r="BB110" s="523">
        <v>0.65</v>
      </c>
      <c r="BC110" s="524">
        <v>0.13</v>
      </c>
      <c r="BD110" s="525">
        <v>0.06</v>
      </c>
      <c r="BE110" s="526"/>
      <c r="BF110" s="493"/>
      <c r="BG110" s="493"/>
      <c r="BH110" s="494"/>
      <c r="BI110" s="369"/>
      <c r="BJ110" s="369"/>
      <c r="BK110" s="369"/>
      <c r="BL110" s="369"/>
      <c r="BM110" s="369"/>
      <c r="BN110" s="369"/>
      <c r="BO110" s="369"/>
      <c r="BP110" s="369"/>
      <c r="BQ110" s="369"/>
      <c r="BR110" s="369"/>
      <c r="BS110" s="369"/>
      <c r="BT110" s="369"/>
      <c r="BU110" s="369"/>
      <c r="BV110" s="369"/>
      <c r="BW110" s="369"/>
      <c r="BX110" s="369"/>
      <c r="BY110" s="369"/>
      <c r="BZ110" s="369"/>
      <c r="CB110" s="369"/>
      <c r="CC110" s="369"/>
      <c r="CD110" s="369"/>
      <c r="CE110" s="369"/>
      <c r="CF110" s="369"/>
      <c r="CG110" s="369"/>
      <c r="CH110" s="369"/>
      <c r="CI110" s="369"/>
      <c r="CJ110" s="369"/>
      <c r="CN110" s="368">
        <f t="shared" si="62"/>
        <v>0</v>
      </c>
      <c r="CO110" s="505">
        <f t="shared" si="63"/>
        <v>95</v>
      </c>
      <c r="CS110" s="532"/>
      <c r="CV110" s="368" t="str">
        <f t="shared" si="64"/>
        <v>Silomais 35% Ganzpflanze</v>
      </c>
      <c r="CW110" s="505">
        <f t="shared" si="65"/>
        <v>98</v>
      </c>
    </row>
    <row r="111" spans="1:101" ht="18" customHeight="1" x14ac:dyDescent="0.2">
      <c r="A111" s="368"/>
      <c r="B111" s="369"/>
      <c r="C111" s="617"/>
      <c r="D111" s="380"/>
      <c r="E111" s="704"/>
      <c r="F111" s="705"/>
      <c r="G111" s="706"/>
      <c r="H111" s="706"/>
      <c r="I111" s="706"/>
      <c r="J111" s="706"/>
      <c r="K111" s="1023"/>
      <c r="L111" s="1023"/>
      <c r="M111" s="1023"/>
      <c r="N111" s="1023"/>
      <c r="O111" s="1023"/>
      <c r="P111" s="707"/>
      <c r="Q111" s="707"/>
      <c r="R111" s="732"/>
      <c r="S111" s="369"/>
      <c r="T111" s="369"/>
      <c r="U111" s="369"/>
      <c r="V111" s="369"/>
      <c r="W111" s="369"/>
      <c r="X111" s="369"/>
      <c r="Y111" s="369"/>
      <c r="Z111" s="369"/>
      <c r="AA111" s="369"/>
      <c r="AB111" s="369"/>
      <c r="AC111" s="369"/>
      <c r="AE111" s="369"/>
      <c r="AF111" s="369"/>
      <c r="AG111" s="369"/>
      <c r="AH111" s="369"/>
      <c r="AI111" s="369"/>
      <c r="AJ111" s="369"/>
      <c r="AK111" s="369"/>
      <c r="AL111" s="369"/>
      <c r="AM111" s="369"/>
      <c r="AN111" s="369"/>
      <c r="AO111" s="369"/>
      <c r="AP111" s="369"/>
      <c r="AQ111" s="369"/>
      <c r="AR111" s="369"/>
      <c r="AS111" s="369"/>
      <c r="AT111" s="369"/>
      <c r="AU111" s="369"/>
      <c r="AV111" s="369"/>
      <c r="AW111" s="495">
        <f t="shared" si="61"/>
        <v>100</v>
      </c>
      <c r="AX111" s="496" t="s">
        <v>467</v>
      </c>
      <c r="AY111" s="522" t="s">
        <v>452</v>
      </c>
      <c r="AZ111" s="497">
        <v>20</v>
      </c>
      <c r="BA111" s="497" t="s">
        <v>189</v>
      </c>
      <c r="BB111" s="523">
        <v>0.65</v>
      </c>
      <c r="BC111" s="524">
        <v>0.14000000000000001</v>
      </c>
      <c r="BD111" s="525">
        <v>0.06</v>
      </c>
      <c r="BE111" s="526"/>
      <c r="BF111" s="493"/>
      <c r="BG111" s="493"/>
      <c r="BH111" s="494"/>
      <c r="BI111" s="369"/>
      <c r="BJ111" s="369"/>
      <c r="BK111" s="369"/>
      <c r="BL111" s="369"/>
      <c r="BM111" s="369"/>
      <c r="BN111" s="369"/>
      <c r="BO111" s="369"/>
      <c r="BP111" s="369"/>
      <c r="BQ111" s="369"/>
      <c r="BR111" s="369"/>
      <c r="BS111" s="369"/>
      <c r="BT111" s="369"/>
      <c r="BU111" s="369"/>
      <c r="BV111" s="369"/>
      <c r="BW111" s="369"/>
      <c r="BX111" s="369"/>
      <c r="BY111" s="369"/>
      <c r="BZ111" s="369"/>
      <c r="CB111" s="369"/>
      <c r="CC111" s="369"/>
      <c r="CD111" s="369"/>
      <c r="CE111" s="369"/>
      <c r="CF111" s="369"/>
      <c r="CG111" s="369"/>
      <c r="CH111" s="369"/>
      <c r="CI111" s="369"/>
      <c r="CJ111" s="369"/>
      <c r="CN111" s="368">
        <f t="shared" si="62"/>
        <v>0</v>
      </c>
      <c r="CO111" s="505">
        <f t="shared" si="63"/>
        <v>0</v>
      </c>
      <c r="CS111" s="532"/>
      <c r="CV111" s="368" t="str">
        <f t="shared" si="64"/>
        <v>Rotklee Ganzpflanze</v>
      </c>
      <c r="CW111" s="505">
        <f t="shared" si="65"/>
        <v>99</v>
      </c>
    </row>
    <row r="112" spans="1:101" ht="18" customHeight="1" x14ac:dyDescent="0.2">
      <c r="A112" s="368"/>
      <c r="B112" s="369"/>
      <c r="C112" s="648">
        <f>C110+1</f>
        <v>96</v>
      </c>
      <c r="D112" s="649"/>
      <c r="E112" s="656"/>
      <c r="F112" s="709"/>
      <c r="G112" s="710"/>
      <c r="H112" s="652"/>
      <c r="I112" s="710"/>
      <c r="J112" s="652"/>
      <c r="K112" s="710"/>
      <c r="L112" s="710"/>
      <c r="M112" s="710"/>
      <c r="N112" s="652"/>
      <c r="O112" s="652"/>
      <c r="P112" s="652"/>
      <c r="Q112" s="652"/>
      <c r="R112" s="652"/>
      <c r="S112" s="369"/>
      <c r="T112" s="369"/>
      <c r="U112" s="369"/>
      <c r="V112" s="369"/>
      <c r="W112" s="369"/>
      <c r="X112" s="369"/>
      <c r="Y112" s="369"/>
      <c r="Z112" s="369"/>
      <c r="AA112" s="369"/>
      <c r="AB112" s="369"/>
      <c r="AC112" s="369"/>
      <c r="AE112" s="369"/>
      <c r="AF112" s="369"/>
      <c r="AG112" s="369"/>
      <c r="AH112" s="369"/>
      <c r="AI112" s="369"/>
      <c r="AJ112" s="369"/>
      <c r="AK112" s="369"/>
      <c r="AL112" s="369"/>
      <c r="AM112" s="369"/>
      <c r="AN112" s="369"/>
      <c r="AO112" s="369"/>
      <c r="AP112" s="369"/>
      <c r="AQ112" s="369"/>
      <c r="AR112" s="369"/>
      <c r="AS112" s="369"/>
      <c r="AT112" s="369"/>
      <c r="AU112" s="369"/>
      <c r="AV112" s="369"/>
      <c r="AW112" s="495">
        <f t="shared" si="61"/>
        <v>101</v>
      </c>
      <c r="AX112" s="496" t="s">
        <v>468</v>
      </c>
      <c r="AY112" s="522" t="s">
        <v>452</v>
      </c>
      <c r="AZ112" s="497">
        <v>20</v>
      </c>
      <c r="BA112" s="497" t="s">
        <v>189</v>
      </c>
      <c r="BB112" s="523">
        <v>0.57999999999999996</v>
      </c>
      <c r="BC112" s="524">
        <v>0.14000000000000001</v>
      </c>
      <c r="BD112" s="525">
        <v>0.06</v>
      </c>
      <c r="BE112" s="526"/>
      <c r="BF112" s="493"/>
      <c r="BG112" s="493"/>
      <c r="BH112" s="494"/>
      <c r="BI112" s="369"/>
      <c r="BJ112" s="369"/>
      <c r="BK112" s="369"/>
      <c r="BL112" s="369"/>
      <c r="BM112" s="369"/>
      <c r="BN112" s="369"/>
      <c r="BO112" s="369"/>
      <c r="BP112" s="369"/>
      <c r="BQ112" s="369"/>
      <c r="BR112" s="369"/>
      <c r="BS112" s="369"/>
      <c r="BT112" s="369"/>
      <c r="BU112" s="369"/>
      <c r="BV112" s="369"/>
      <c r="BW112" s="369"/>
      <c r="BX112" s="369"/>
      <c r="BY112" s="369"/>
      <c r="BZ112" s="369"/>
      <c r="CB112" s="369"/>
      <c r="CC112" s="369"/>
      <c r="CD112" s="369"/>
      <c r="CE112" s="369"/>
      <c r="CF112" s="369"/>
      <c r="CG112" s="369"/>
      <c r="CH112" s="369"/>
      <c r="CI112" s="369"/>
      <c r="CJ112" s="369"/>
      <c r="CN112" s="368">
        <f t="shared" si="62"/>
        <v>0</v>
      </c>
      <c r="CO112" s="505">
        <f t="shared" si="63"/>
        <v>96</v>
      </c>
      <c r="CS112" s="532"/>
      <c r="CV112" s="368" t="str">
        <f t="shared" si="64"/>
        <v>Luzerne Ganzpflanze</v>
      </c>
      <c r="CW112" s="505">
        <f t="shared" si="65"/>
        <v>100</v>
      </c>
    </row>
    <row r="113" spans="1:101" ht="18" customHeight="1" x14ac:dyDescent="0.2">
      <c r="A113" s="368"/>
      <c r="B113" s="369"/>
      <c r="C113" s="648">
        <f>C112+1</f>
        <v>97</v>
      </c>
      <c r="D113" s="649"/>
      <c r="E113" s="656"/>
      <c r="F113" s="709"/>
      <c r="G113" s="710"/>
      <c r="H113" s="652"/>
      <c r="I113" s="710"/>
      <c r="J113" s="652"/>
      <c r="K113" s="710"/>
      <c r="L113" s="710"/>
      <c r="M113" s="710"/>
      <c r="N113" s="652"/>
      <c r="O113" s="652"/>
      <c r="P113" s="652"/>
      <c r="Q113" s="652"/>
      <c r="R113" s="652"/>
      <c r="S113" s="369"/>
      <c r="T113" s="369"/>
      <c r="U113" s="369"/>
      <c r="V113" s="369"/>
      <c r="W113" s="369"/>
      <c r="X113" s="369"/>
      <c r="Y113" s="369"/>
      <c r="Z113" s="369"/>
      <c r="AA113" s="369"/>
      <c r="AB113" s="369"/>
      <c r="AC113" s="369"/>
      <c r="AE113" s="369"/>
      <c r="AF113" s="369"/>
      <c r="AG113" s="369"/>
      <c r="AH113" s="369"/>
      <c r="AI113" s="369"/>
      <c r="AJ113" s="369"/>
      <c r="AK113" s="369"/>
      <c r="AL113" s="369"/>
      <c r="AM113" s="369"/>
      <c r="AN113" s="369"/>
      <c r="AO113" s="369"/>
      <c r="AP113" s="369"/>
      <c r="AQ113" s="369"/>
      <c r="AR113" s="369"/>
      <c r="AS113" s="369"/>
      <c r="AT113" s="369"/>
      <c r="AU113" s="369"/>
      <c r="AV113" s="369"/>
      <c r="AW113" s="495">
        <f t="shared" si="61"/>
        <v>102</v>
      </c>
      <c r="AX113" s="496" t="s">
        <v>469</v>
      </c>
      <c r="AY113" s="522" t="s">
        <v>452</v>
      </c>
      <c r="AZ113" s="497">
        <v>20</v>
      </c>
      <c r="BA113" s="497" t="s">
        <v>189</v>
      </c>
      <c r="BB113" s="523">
        <v>0.57999999999999996</v>
      </c>
      <c r="BC113" s="524">
        <v>0.15</v>
      </c>
      <c r="BD113" s="525">
        <v>7.0000000000000007E-2</v>
      </c>
      <c r="BE113" s="526"/>
      <c r="BF113" s="493"/>
      <c r="BG113" s="493"/>
      <c r="BH113" s="494"/>
      <c r="BI113" s="369"/>
      <c r="BJ113" s="369"/>
      <c r="BK113" s="369"/>
      <c r="BL113" s="369"/>
      <c r="BM113" s="369"/>
      <c r="BN113" s="369"/>
      <c r="BO113" s="369"/>
      <c r="BP113" s="369"/>
      <c r="BQ113" s="369"/>
      <c r="BR113" s="369"/>
      <c r="BS113" s="369"/>
      <c r="BT113" s="369"/>
      <c r="BU113" s="369"/>
      <c r="BV113" s="369"/>
      <c r="BW113" s="369"/>
      <c r="BX113" s="369"/>
      <c r="BY113" s="369"/>
      <c r="BZ113" s="369"/>
      <c r="CB113" s="369"/>
      <c r="CC113" s="369"/>
      <c r="CD113" s="369"/>
      <c r="CE113" s="369"/>
      <c r="CF113" s="369"/>
      <c r="CG113" s="369"/>
      <c r="CH113" s="369"/>
      <c r="CI113" s="369"/>
      <c r="CJ113" s="369"/>
      <c r="CN113" s="368">
        <f t="shared" si="62"/>
        <v>0</v>
      </c>
      <c r="CO113" s="505">
        <f t="shared" si="63"/>
        <v>97</v>
      </c>
      <c r="CS113" s="532"/>
      <c r="CV113" s="368" t="str">
        <f t="shared" si="64"/>
        <v>Kleegras Ganzpflanze</v>
      </c>
      <c r="CW113" s="505">
        <f t="shared" si="65"/>
        <v>101</v>
      </c>
    </row>
    <row r="114" spans="1:101" ht="18" customHeight="1" x14ac:dyDescent="0.2">
      <c r="A114" s="368"/>
      <c r="B114" s="369"/>
      <c r="C114" s="648">
        <f>C113+1</f>
        <v>98</v>
      </c>
      <c r="D114" s="649"/>
      <c r="E114" s="656"/>
      <c r="F114" s="709"/>
      <c r="G114" s="710"/>
      <c r="H114" s="652"/>
      <c r="I114" s="710"/>
      <c r="J114" s="652"/>
      <c r="K114" s="710"/>
      <c r="L114" s="710"/>
      <c r="M114" s="710"/>
      <c r="N114" s="652"/>
      <c r="O114" s="652"/>
      <c r="P114" s="652"/>
      <c r="Q114" s="652"/>
      <c r="R114" s="652"/>
      <c r="S114" s="369"/>
      <c r="T114" s="369"/>
      <c r="U114" s="369"/>
      <c r="V114" s="369"/>
      <c r="W114" s="369"/>
      <c r="X114" s="369"/>
      <c r="Y114" s="369"/>
      <c r="Z114" s="369"/>
      <c r="AA114" s="369"/>
      <c r="AB114" s="369"/>
      <c r="AC114" s="369"/>
      <c r="AE114" s="369"/>
      <c r="AF114" s="369"/>
      <c r="AG114" s="369"/>
      <c r="AH114" s="369"/>
      <c r="AI114" s="369"/>
      <c r="AJ114" s="369"/>
      <c r="AK114" s="369"/>
      <c r="AL114" s="369"/>
      <c r="AM114" s="369"/>
      <c r="AN114" s="369"/>
      <c r="AO114" s="369"/>
      <c r="AP114" s="369"/>
      <c r="AQ114" s="369"/>
      <c r="AR114" s="369"/>
      <c r="AS114" s="369"/>
      <c r="AT114" s="369"/>
      <c r="AU114" s="369"/>
      <c r="AV114" s="369"/>
      <c r="AW114" s="495">
        <f t="shared" si="61"/>
        <v>103</v>
      </c>
      <c r="AX114" s="496" t="s">
        <v>470</v>
      </c>
      <c r="AY114" s="522" t="s">
        <v>452</v>
      </c>
      <c r="AZ114" s="497">
        <v>20</v>
      </c>
      <c r="BA114" s="497" t="s">
        <v>189</v>
      </c>
      <c r="BB114" s="523">
        <v>0.53</v>
      </c>
      <c r="BC114" s="524">
        <v>0.16</v>
      </c>
      <c r="BD114" s="525">
        <v>7.0000000000000007E-2</v>
      </c>
      <c r="BE114" s="526"/>
      <c r="BF114" s="493"/>
      <c r="BG114" s="493"/>
      <c r="BH114" s="494"/>
      <c r="BI114" s="369"/>
      <c r="BJ114" s="369"/>
      <c r="BK114" s="369"/>
      <c r="BL114" s="369"/>
      <c r="BM114" s="369"/>
      <c r="BN114" s="369"/>
      <c r="BO114" s="369"/>
      <c r="BP114" s="369"/>
      <c r="BQ114" s="369"/>
      <c r="BR114" s="369"/>
      <c r="BS114" s="369"/>
      <c r="BT114" s="369"/>
      <c r="BU114" s="369"/>
      <c r="BV114" s="369"/>
      <c r="BW114" s="369"/>
      <c r="BX114" s="369"/>
      <c r="BY114" s="369"/>
      <c r="BZ114" s="369"/>
      <c r="CB114" s="369"/>
      <c r="CC114" s="369"/>
      <c r="CD114" s="369"/>
      <c r="CE114" s="369"/>
      <c r="CF114" s="369"/>
      <c r="CG114" s="369"/>
      <c r="CH114" s="369"/>
      <c r="CI114" s="369"/>
      <c r="CJ114" s="369"/>
      <c r="CN114" s="368">
        <f t="shared" si="62"/>
        <v>0</v>
      </c>
      <c r="CO114" s="505">
        <f t="shared" si="63"/>
        <v>98</v>
      </c>
      <c r="CS114" s="532"/>
      <c r="CV114" s="368" t="str">
        <f t="shared" si="64"/>
        <v>Luzernegras Ganzpflanze</v>
      </c>
      <c r="CW114" s="505">
        <f t="shared" si="65"/>
        <v>102</v>
      </c>
    </row>
    <row r="115" spans="1:101" ht="18" customHeight="1" x14ac:dyDescent="0.2">
      <c r="A115" s="368"/>
      <c r="B115" s="369"/>
      <c r="C115" s="648">
        <f>C114+1</f>
        <v>99</v>
      </c>
      <c r="D115" s="649"/>
      <c r="E115" s="656"/>
      <c r="F115" s="709"/>
      <c r="G115" s="710"/>
      <c r="H115" s="652"/>
      <c r="I115" s="710"/>
      <c r="J115" s="652"/>
      <c r="K115" s="710"/>
      <c r="L115" s="710"/>
      <c r="M115" s="710"/>
      <c r="N115" s="652"/>
      <c r="O115" s="652"/>
      <c r="P115" s="652"/>
      <c r="Q115" s="652"/>
      <c r="R115" s="652"/>
      <c r="S115" s="369"/>
      <c r="T115" s="369"/>
      <c r="U115" s="369"/>
      <c r="V115" s="369"/>
      <c r="W115" s="369"/>
      <c r="X115" s="369"/>
      <c r="Y115" s="369"/>
      <c r="Z115" s="369"/>
      <c r="AA115" s="369"/>
      <c r="AB115" s="369"/>
      <c r="AC115" s="369"/>
      <c r="AE115" s="369"/>
      <c r="AF115" s="369"/>
      <c r="AG115" s="369"/>
      <c r="AH115" s="369"/>
      <c r="AI115" s="369"/>
      <c r="AJ115" s="369"/>
      <c r="AK115" s="369"/>
      <c r="AL115" s="369"/>
      <c r="AM115" s="369"/>
      <c r="AN115" s="369"/>
      <c r="AO115" s="369"/>
      <c r="AP115" s="369"/>
      <c r="AQ115" s="369"/>
      <c r="AR115" s="369"/>
      <c r="AS115" s="369"/>
      <c r="AT115" s="369"/>
      <c r="AU115" s="369"/>
      <c r="AV115" s="369"/>
      <c r="AW115" s="495">
        <f t="shared" si="61"/>
        <v>104</v>
      </c>
      <c r="AX115" s="554" t="s">
        <v>471</v>
      </c>
      <c r="AY115" s="555" t="s">
        <v>452</v>
      </c>
      <c r="AZ115" s="556">
        <v>15</v>
      </c>
      <c r="BA115" s="556" t="s">
        <v>189</v>
      </c>
      <c r="BB115" s="557">
        <v>0.43</v>
      </c>
      <c r="BC115" s="558">
        <v>0.13</v>
      </c>
      <c r="BD115" s="559">
        <v>0.06</v>
      </c>
      <c r="BE115" s="526"/>
      <c r="BF115" s="493"/>
      <c r="BG115" s="493"/>
      <c r="BH115" s="494"/>
      <c r="BI115" s="369"/>
      <c r="BJ115" s="369"/>
      <c r="BK115" s="369"/>
      <c r="BL115" s="369"/>
      <c r="BM115" s="369"/>
      <c r="BN115" s="369"/>
      <c r="BO115" s="369"/>
      <c r="BP115" s="369"/>
      <c r="BQ115" s="369"/>
      <c r="BR115" s="369"/>
      <c r="BS115" s="369"/>
      <c r="BT115" s="369"/>
      <c r="BU115" s="369"/>
      <c r="BV115" s="369"/>
      <c r="BW115" s="369"/>
      <c r="BX115" s="369"/>
      <c r="BY115" s="369"/>
      <c r="BZ115" s="369"/>
      <c r="CB115" s="369"/>
      <c r="CC115" s="369"/>
      <c r="CD115" s="369"/>
      <c r="CE115" s="369"/>
      <c r="CF115" s="369"/>
      <c r="CG115" s="369"/>
      <c r="CH115" s="369"/>
      <c r="CI115" s="369"/>
      <c r="CJ115" s="369"/>
      <c r="CN115" s="368">
        <f t="shared" si="62"/>
        <v>0</v>
      </c>
      <c r="CO115" s="505">
        <f t="shared" si="63"/>
        <v>99</v>
      </c>
      <c r="CS115" s="532"/>
      <c r="CV115" s="368" t="str">
        <f t="shared" si="64"/>
        <v>Weidelgras (Ackergras) Ganzpflanze</v>
      </c>
      <c r="CW115" s="505">
        <f t="shared" si="65"/>
        <v>103</v>
      </c>
    </row>
    <row r="116" spans="1:101" ht="18" customHeight="1" x14ac:dyDescent="0.2">
      <c r="A116" s="368"/>
      <c r="B116" s="369"/>
      <c r="C116" s="733">
        <f>C115+1</f>
        <v>100</v>
      </c>
      <c r="D116" s="649"/>
      <c r="E116" s="656"/>
      <c r="F116" s="709"/>
      <c r="G116" s="710"/>
      <c r="H116" s="652"/>
      <c r="I116" s="710"/>
      <c r="J116" s="652"/>
      <c r="K116" s="710"/>
      <c r="L116" s="710"/>
      <c r="M116" s="710"/>
      <c r="N116" s="652"/>
      <c r="O116" s="652"/>
      <c r="P116" s="652"/>
      <c r="Q116" s="652"/>
      <c r="R116" s="652"/>
      <c r="S116" s="369"/>
      <c r="T116" s="369"/>
      <c r="U116" s="369"/>
      <c r="V116" s="369"/>
      <c r="W116" s="369"/>
      <c r="X116" s="369"/>
      <c r="Y116" s="369"/>
      <c r="Z116" s="369"/>
      <c r="AA116" s="369"/>
      <c r="AB116" s="369"/>
      <c r="AC116" s="369"/>
      <c r="AE116" s="369"/>
      <c r="AF116" s="369"/>
      <c r="AG116" s="369"/>
      <c r="AH116" s="369"/>
      <c r="AI116" s="369"/>
      <c r="AJ116" s="369"/>
      <c r="AK116" s="369"/>
      <c r="AL116" s="369"/>
      <c r="AM116" s="369"/>
      <c r="AN116" s="369"/>
      <c r="AO116" s="369"/>
      <c r="AP116" s="369"/>
      <c r="AQ116" s="369"/>
      <c r="AR116" s="369"/>
      <c r="AS116" s="369"/>
      <c r="AT116" s="369"/>
      <c r="AU116" s="369"/>
      <c r="AV116" s="369"/>
      <c r="AW116" s="495">
        <f t="shared" si="61"/>
        <v>105</v>
      </c>
      <c r="AX116" s="564" t="s">
        <v>472</v>
      </c>
      <c r="AY116" s="565"/>
      <c r="AZ116" s="566"/>
      <c r="BA116" s="566"/>
      <c r="BB116" s="567"/>
      <c r="BC116" s="568"/>
      <c r="BD116" s="569"/>
      <c r="BE116" s="526"/>
      <c r="BF116" s="493"/>
      <c r="BG116" s="493"/>
      <c r="BH116" s="494"/>
      <c r="BI116" s="369"/>
      <c r="BJ116" s="369"/>
      <c r="BK116" s="369"/>
      <c r="BL116" s="369"/>
      <c r="BM116" s="369"/>
      <c r="BN116" s="369"/>
      <c r="BO116" s="369"/>
      <c r="BP116" s="369"/>
      <c r="BQ116" s="369"/>
      <c r="BR116" s="369"/>
      <c r="BS116" s="369"/>
      <c r="BT116" s="369"/>
      <c r="BU116" s="369"/>
      <c r="BV116" s="369"/>
      <c r="BW116" s="369"/>
      <c r="BX116" s="369"/>
      <c r="BY116" s="369"/>
      <c r="BZ116" s="369"/>
      <c r="CB116" s="369"/>
      <c r="CC116" s="369"/>
      <c r="CD116" s="369"/>
      <c r="CE116" s="369"/>
      <c r="CF116" s="369"/>
      <c r="CG116" s="369"/>
      <c r="CH116" s="369"/>
      <c r="CI116" s="369"/>
      <c r="CJ116" s="369"/>
      <c r="CN116" s="368">
        <f t="shared" si="62"/>
        <v>0</v>
      </c>
      <c r="CO116" s="505">
        <f t="shared" si="63"/>
        <v>100</v>
      </c>
      <c r="CS116" s="532"/>
      <c r="CV116" s="368" t="str">
        <f t="shared" si="64"/>
        <v>Futterzwischenfrüchte Ganzpflanze</v>
      </c>
      <c r="CW116" s="505">
        <f t="shared" si="65"/>
        <v>104</v>
      </c>
    </row>
    <row r="117" spans="1:101" ht="18" customHeight="1" x14ac:dyDescent="0.2">
      <c r="A117" s="368"/>
      <c r="B117" s="369"/>
      <c r="C117" s="734" t="s">
        <v>473</v>
      </c>
      <c r="D117" s="373"/>
      <c r="E117" s="372"/>
      <c r="F117" s="735"/>
      <c r="G117" s="735"/>
      <c r="H117" s="735"/>
      <c r="I117" s="735"/>
      <c r="J117" s="735"/>
      <c r="K117" s="735"/>
      <c r="L117" s="735"/>
      <c r="M117" s="735"/>
      <c r="N117" s="382"/>
      <c r="O117" s="382"/>
      <c r="P117" s="382"/>
      <c r="Q117" s="382"/>
      <c r="R117" s="382"/>
      <c r="S117" s="369"/>
      <c r="T117" s="369"/>
      <c r="U117" s="369"/>
      <c r="V117" s="369"/>
      <c r="W117" s="369"/>
      <c r="X117" s="369"/>
      <c r="Y117" s="369"/>
      <c r="Z117" s="369"/>
      <c r="AA117" s="369"/>
      <c r="AB117" s="369"/>
      <c r="AC117" s="369"/>
      <c r="AE117" s="369"/>
      <c r="AF117" s="369"/>
      <c r="AG117" s="369"/>
      <c r="AH117" s="369"/>
      <c r="AI117" s="369"/>
      <c r="AJ117" s="369"/>
      <c r="AK117" s="369"/>
      <c r="AL117" s="369"/>
      <c r="AM117" s="369"/>
      <c r="AN117" s="369"/>
      <c r="AO117" s="369"/>
      <c r="AP117" s="369"/>
      <c r="AQ117" s="369"/>
      <c r="AR117" s="369"/>
      <c r="AS117" s="369"/>
      <c r="AT117" s="369"/>
      <c r="AU117" s="369"/>
      <c r="AV117" s="369"/>
      <c r="AW117" s="495">
        <f t="shared" si="61"/>
        <v>106</v>
      </c>
      <c r="AX117" s="496" t="str">
        <f>CONCATENATE("Grassamenvermehrung ",AY117)</f>
        <v>Grassamenvermehrung Samen</v>
      </c>
      <c r="AY117" s="522" t="s">
        <v>474</v>
      </c>
      <c r="AZ117" s="497">
        <v>86</v>
      </c>
      <c r="BA117" s="497" t="s">
        <v>189</v>
      </c>
      <c r="BB117" s="523">
        <v>2.2000000000000002</v>
      </c>
      <c r="BC117" s="524">
        <v>0.7</v>
      </c>
      <c r="BD117" s="525">
        <v>0.31</v>
      </c>
      <c r="BE117" s="526"/>
      <c r="BF117" s="493"/>
      <c r="BG117" s="493"/>
      <c r="BH117" s="494"/>
      <c r="BI117" s="369"/>
      <c r="BJ117" s="369"/>
      <c r="BK117" s="369"/>
      <c r="BL117" s="369"/>
      <c r="BM117" s="369"/>
      <c r="BN117" s="369"/>
      <c r="BO117" s="369"/>
      <c r="BP117" s="369"/>
      <c r="BQ117" s="369"/>
      <c r="BR117" s="369"/>
      <c r="BS117" s="369"/>
      <c r="BT117" s="369"/>
      <c r="BU117" s="369"/>
      <c r="BV117" s="369"/>
      <c r="BW117" s="369"/>
      <c r="BX117" s="369"/>
      <c r="BY117" s="369"/>
      <c r="BZ117" s="369"/>
      <c r="CB117" s="369"/>
      <c r="CC117" s="369"/>
      <c r="CD117" s="369"/>
      <c r="CE117" s="369"/>
      <c r="CF117" s="369"/>
      <c r="CG117" s="369"/>
      <c r="CH117" s="369"/>
      <c r="CI117" s="369"/>
      <c r="CJ117" s="369"/>
      <c r="CS117" s="532"/>
      <c r="CV117" s="368" t="str">
        <f t="shared" si="64"/>
        <v>Vermehrungspflanzen</v>
      </c>
      <c r="CW117" s="505">
        <f t="shared" si="65"/>
        <v>105</v>
      </c>
    </row>
    <row r="118" spans="1:101" ht="18" customHeight="1" x14ac:dyDescent="0.2">
      <c r="A118" s="368"/>
      <c r="B118" s="369"/>
      <c r="C118" s="734" t="s">
        <v>475</v>
      </c>
      <c r="D118" s="382"/>
      <c r="E118" s="736"/>
      <c r="F118" s="382"/>
      <c r="G118" s="382"/>
      <c r="H118" s="382"/>
      <c r="I118" s="382"/>
      <c r="J118" s="382"/>
      <c r="K118" s="382"/>
      <c r="L118" s="382"/>
      <c r="M118" s="382"/>
      <c r="N118" s="382"/>
      <c r="O118" s="382"/>
      <c r="P118" s="382"/>
      <c r="Q118" s="382"/>
      <c r="R118" s="382"/>
      <c r="S118" s="369"/>
      <c r="T118" s="369"/>
      <c r="U118" s="369"/>
      <c r="V118" s="369"/>
      <c r="W118" s="369"/>
      <c r="X118" s="369"/>
      <c r="Y118" s="369"/>
      <c r="Z118" s="369"/>
      <c r="AA118" s="369"/>
      <c r="AB118" s="369"/>
      <c r="AC118" s="369"/>
      <c r="AE118" s="369"/>
      <c r="AF118" s="369"/>
      <c r="AG118" s="369"/>
      <c r="AH118" s="369"/>
      <c r="AI118" s="369"/>
      <c r="AJ118" s="369"/>
      <c r="AK118" s="369"/>
      <c r="AL118" s="369"/>
      <c r="AM118" s="369"/>
      <c r="AN118" s="369"/>
      <c r="AO118" s="369"/>
      <c r="AP118" s="369"/>
      <c r="AQ118" s="369"/>
      <c r="AR118" s="369"/>
      <c r="AS118" s="369"/>
      <c r="AT118" s="369"/>
      <c r="AU118" s="369"/>
      <c r="AV118" s="369"/>
      <c r="AW118" s="495">
        <f t="shared" si="61"/>
        <v>107</v>
      </c>
      <c r="AX118" s="496" t="str">
        <f>CONCATENATE("Grassamenvermehrung ",AY118)</f>
        <v>Grassamenvermehrung Stroh</v>
      </c>
      <c r="AY118" s="522" t="s">
        <v>447</v>
      </c>
      <c r="AZ118" s="497">
        <v>86</v>
      </c>
      <c r="BA118" s="497" t="s">
        <v>189</v>
      </c>
      <c r="BB118" s="523">
        <v>1.5</v>
      </c>
      <c r="BC118" s="524">
        <v>0.35</v>
      </c>
      <c r="BD118" s="525">
        <v>0.15</v>
      </c>
      <c r="BE118" s="526"/>
      <c r="BF118" s="493"/>
      <c r="BG118" s="493"/>
      <c r="BH118" s="494"/>
      <c r="BI118" s="369"/>
      <c r="BJ118" s="369"/>
      <c r="BK118" s="369"/>
      <c r="BL118" s="369"/>
      <c r="BM118" s="369"/>
      <c r="BN118" s="369"/>
      <c r="BO118" s="369"/>
      <c r="BP118" s="369"/>
      <c r="BQ118" s="369"/>
      <c r="BR118" s="369"/>
      <c r="BS118" s="369"/>
      <c r="BT118" s="369"/>
      <c r="BU118" s="369"/>
      <c r="BV118" s="369"/>
      <c r="BW118" s="369"/>
      <c r="BX118" s="369"/>
      <c r="BY118" s="369"/>
      <c r="BZ118" s="369"/>
      <c r="CB118" s="369"/>
      <c r="CC118" s="369"/>
      <c r="CD118" s="369"/>
      <c r="CE118" s="369"/>
      <c r="CF118" s="369"/>
      <c r="CG118" s="369"/>
      <c r="CH118" s="369"/>
      <c r="CI118" s="369"/>
      <c r="CJ118" s="369"/>
      <c r="CS118" s="532"/>
      <c r="CV118" s="368" t="str">
        <f t="shared" si="64"/>
        <v>Grassamenvermehrung Samen</v>
      </c>
      <c r="CW118" s="505">
        <f t="shared" si="65"/>
        <v>106</v>
      </c>
    </row>
    <row r="119" spans="1:101" ht="18" customHeight="1" x14ac:dyDescent="0.2">
      <c r="A119" s="368"/>
      <c r="B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E119" s="369"/>
      <c r="AF119" s="369"/>
      <c r="AG119" s="369"/>
      <c r="AH119" s="369"/>
      <c r="AI119" s="369"/>
      <c r="AJ119" s="369"/>
      <c r="AK119" s="369"/>
      <c r="AL119" s="369"/>
      <c r="AM119" s="369"/>
      <c r="AN119" s="369"/>
      <c r="AO119" s="369"/>
      <c r="AP119" s="369"/>
      <c r="AQ119" s="369"/>
      <c r="AR119" s="369"/>
      <c r="AS119" s="369"/>
      <c r="AT119" s="369"/>
      <c r="AU119" s="369"/>
      <c r="AV119" s="369"/>
      <c r="AW119" s="495">
        <f t="shared" si="61"/>
        <v>108</v>
      </c>
      <c r="AX119" s="496" t="str">
        <f>CONCATENATE("Grassamenvermehrung ",AY119)</f>
        <v>Grassamenvermehrung Samen + Stroh3</v>
      </c>
      <c r="AY119" s="522" t="s">
        <v>476</v>
      </c>
      <c r="AZ119" s="497" t="s">
        <v>189</v>
      </c>
      <c r="BA119" s="497">
        <v>80</v>
      </c>
      <c r="BB119" s="523" t="s">
        <v>477</v>
      </c>
      <c r="BC119" s="524">
        <v>3.5</v>
      </c>
      <c r="BD119" s="525">
        <v>1.54</v>
      </c>
      <c r="BE119" s="526"/>
      <c r="BF119" s="493"/>
      <c r="BG119" s="493"/>
      <c r="BH119" s="494"/>
      <c r="BI119" s="369"/>
      <c r="BJ119" s="369"/>
      <c r="BK119" s="369"/>
      <c r="BL119" s="369"/>
      <c r="BM119" s="369"/>
      <c r="BN119" s="369"/>
      <c r="BO119" s="369"/>
      <c r="BP119" s="369"/>
      <c r="BQ119" s="369"/>
      <c r="BR119" s="369"/>
      <c r="BS119" s="369"/>
      <c r="BT119" s="369"/>
      <c r="BU119" s="369"/>
      <c r="BV119" s="369"/>
      <c r="BW119" s="369"/>
      <c r="BX119" s="369"/>
      <c r="BY119" s="369"/>
      <c r="BZ119" s="369"/>
      <c r="CB119" s="369"/>
      <c r="CC119" s="369"/>
      <c r="CD119" s="369"/>
      <c r="CE119" s="369"/>
      <c r="CF119" s="369"/>
      <c r="CG119" s="369"/>
      <c r="CH119" s="369"/>
      <c r="CI119" s="369"/>
      <c r="CJ119" s="369"/>
      <c r="CS119" s="532"/>
      <c r="CV119" s="368" t="str">
        <f t="shared" si="64"/>
        <v>Grassamenvermehrung Stroh</v>
      </c>
      <c r="CW119" s="505">
        <f t="shared" si="65"/>
        <v>107</v>
      </c>
    </row>
    <row r="120" spans="1:101" ht="18" customHeight="1" x14ac:dyDescent="0.2">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737">
        <f t="shared" si="61"/>
        <v>109</v>
      </c>
      <c r="AX120" s="496" t="str">
        <f>CONCATENATE("Klee-, Luzernevermehrung ",AY120)</f>
        <v>Klee-, Luzernevermehrung Samen</v>
      </c>
      <c r="AY120" s="522" t="s">
        <v>474</v>
      </c>
      <c r="AZ120" s="497">
        <v>91</v>
      </c>
      <c r="BA120" s="497" t="s">
        <v>189</v>
      </c>
      <c r="BB120" s="523">
        <v>5.5</v>
      </c>
      <c r="BC120" s="524">
        <v>1.46</v>
      </c>
      <c r="BD120" s="525">
        <v>0.64</v>
      </c>
      <c r="BE120" s="526"/>
      <c r="BF120" s="493"/>
      <c r="BG120" s="493"/>
      <c r="BH120" s="494"/>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S120" s="532"/>
      <c r="CV120" s="368" t="str">
        <f t="shared" si="64"/>
        <v>Grassamenvermehrung Samen + Stroh3</v>
      </c>
      <c r="CW120" s="505">
        <f t="shared" si="65"/>
        <v>108</v>
      </c>
    </row>
    <row r="121" spans="1:101" ht="18" customHeight="1" x14ac:dyDescent="0.2">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737">
        <f t="shared" si="61"/>
        <v>110</v>
      </c>
      <c r="AX121" s="496" t="str">
        <f>CONCATENATE("Klee-, Luzernevermehrung ",AY121)</f>
        <v>Klee-, Luzernevermehrung Stroh</v>
      </c>
      <c r="AY121" s="522" t="s">
        <v>447</v>
      </c>
      <c r="AZ121" s="497">
        <v>86</v>
      </c>
      <c r="BA121" s="497" t="s">
        <v>189</v>
      </c>
      <c r="BB121" s="523">
        <v>1.5</v>
      </c>
      <c r="BC121" s="524">
        <v>0.3</v>
      </c>
      <c r="BD121" s="525">
        <v>0.13</v>
      </c>
      <c r="BE121" s="526"/>
      <c r="BF121" s="493"/>
      <c r="BG121" s="493"/>
      <c r="BH121" s="494"/>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S121" s="532"/>
      <c r="CV121" s="368" t="str">
        <f t="shared" si="64"/>
        <v>Klee-, Luzernevermehrung Samen</v>
      </c>
      <c r="CW121" s="505">
        <f t="shared" si="65"/>
        <v>109</v>
      </c>
    </row>
    <row r="122" spans="1:101" ht="18" customHeight="1" x14ac:dyDescent="0.2">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737">
        <f t="shared" si="61"/>
        <v>111</v>
      </c>
      <c r="AX122" s="554" t="str">
        <f>CONCATENATE("Klee-, Luzernevermehrung ",AY122)</f>
        <v>Klee-, Luzernevermehrung Samen + Stroh3</v>
      </c>
      <c r="AY122" s="555" t="s">
        <v>476</v>
      </c>
      <c r="AZ122" s="556" t="s">
        <v>189</v>
      </c>
      <c r="BA122" s="556" t="s">
        <v>478</v>
      </c>
      <c r="BB122" s="557">
        <v>17.5</v>
      </c>
      <c r="BC122" s="558">
        <v>3.86</v>
      </c>
      <c r="BD122" s="559">
        <v>1.7</v>
      </c>
      <c r="BE122" s="526"/>
      <c r="BF122" s="493"/>
      <c r="BG122" s="493"/>
      <c r="BH122" s="494"/>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S122" s="532"/>
      <c r="CV122" s="368" t="str">
        <f t="shared" si="64"/>
        <v>Klee-, Luzernevermehrung Stroh</v>
      </c>
      <c r="CW122" s="505">
        <f t="shared" si="65"/>
        <v>110</v>
      </c>
    </row>
    <row r="123" spans="1:101" ht="18" customHeight="1" x14ac:dyDescent="0.2">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737">
        <f t="shared" si="61"/>
        <v>112</v>
      </c>
      <c r="AX123" s="564" t="s">
        <v>479</v>
      </c>
      <c r="AY123" s="565"/>
      <c r="AZ123" s="566"/>
      <c r="BA123" s="566"/>
      <c r="BB123" s="567"/>
      <c r="BC123" s="568"/>
      <c r="BD123" s="569"/>
      <c r="BE123" s="526"/>
      <c r="BF123" s="493"/>
      <c r="BG123" s="493"/>
      <c r="BH123" s="494"/>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S123" s="532"/>
      <c r="CV123" s="368" t="str">
        <f t="shared" si="64"/>
        <v>Klee-, Luzernevermehrung Samen + Stroh3</v>
      </c>
      <c r="CW123" s="505">
        <f t="shared" si="65"/>
        <v>111</v>
      </c>
    </row>
    <row r="124" spans="1:101" ht="18" customHeight="1" x14ac:dyDescent="0.2">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737">
        <f t="shared" si="61"/>
        <v>113</v>
      </c>
      <c r="AX124" s="496" t="s">
        <v>480</v>
      </c>
      <c r="AY124" s="522"/>
      <c r="AZ124" s="497"/>
      <c r="BA124" s="497"/>
      <c r="BB124" s="523">
        <v>1.38</v>
      </c>
      <c r="BC124" s="524">
        <v>0.5</v>
      </c>
      <c r="BD124" s="525">
        <v>0.22</v>
      </c>
      <c r="BE124" s="526"/>
      <c r="BF124" s="493"/>
      <c r="BG124" s="493"/>
      <c r="BH124" s="494"/>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S124" s="532"/>
      <c r="CV124" s="368" t="str">
        <f t="shared" si="64"/>
        <v>Grünland</v>
      </c>
      <c r="CW124" s="505">
        <f t="shared" si="65"/>
        <v>112</v>
      </c>
    </row>
    <row r="125" spans="1:101" ht="18" customHeight="1" x14ac:dyDescent="0.2">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737">
        <f t="shared" si="61"/>
        <v>114</v>
      </c>
      <c r="AX125" s="496" t="s">
        <v>481</v>
      </c>
      <c r="AY125" s="522"/>
      <c r="AZ125" s="497"/>
      <c r="BA125" s="497"/>
      <c r="BB125" s="523">
        <v>1.82</v>
      </c>
      <c r="BC125" s="524">
        <v>0.65</v>
      </c>
      <c r="BD125" s="525">
        <v>0.28999999999999998</v>
      </c>
      <c r="BE125" s="526"/>
      <c r="BF125" s="493"/>
      <c r="BG125" s="493"/>
      <c r="BH125" s="494"/>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S125" s="532"/>
      <c r="CV125" s="368" t="str">
        <f t="shared" si="64"/>
        <v>Grünland 1 Nutzung (40 dt/ha TM) Ganzpflanze</v>
      </c>
      <c r="CW125" s="505">
        <f t="shared" si="65"/>
        <v>113</v>
      </c>
    </row>
    <row r="126" spans="1:101" ht="18" customHeight="1" x14ac:dyDescent="0.2">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737">
        <f t="shared" ref="AW126:AW131" si="66">AW125+1</f>
        <v>115</v>
      </c>
      <c r="AX126" s="496" t="s">
        <v>482</v>
      </c>
      <c r="AY126" s="522"/>
      <c r="AZ126" s="497"/>
      <c r="BA126" s="497"/>
      <c r="BB126" s="523">
        <v>2.4</v>
      </c>
      <c r="BC126" s="524">
        <v>0.71</v>
      </c>
      <c r="BD126" s="525">
        <v>0.31</v>
      </c>
      <c r="BE126" s="526"/>
      <c r="BF126" s="493"/>
      <c r="BG126" s="493"/>
      <c r="BH126" s="494"/>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S126" s="532"/>
      <c r="CV126" s="368" t="str">
        <f t="shared" si="64"/>
        <v>Grünland 2 Nutzungen (55 dt/ha TM) Ganzpflanze</v>
      </c>
      <c r="CW126" s="505">
        <f t="shared" si="65"/>
        <v>114</v>
      </c>
    </row>
    <row r="127" spans="1:101" ht="18" customHeight="1" x14ac:dyDescent="0.2">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737">
        <f t="shared" si="66"/>
        <v>116</v>
      </c>
      <c r="AX127" s="496" t="s">
        <v>483</v>
      </c>
      <c r="AY127" s="522"/>
      <c r="AZ127" s="497"/>
      <c r="BA127" s="497"/>
      <c r="BB127" s="523">
        <v>2.7</v>
      </c>
      <c r="BC127" s="524">
        <v>0.81</v>
      </c>
      <c r="BD127" s="525">
        <v>0.36</v>
      </c>
      <c r="BE127" s="526"/>
      <c r="BF127" s="493"/>
      <c r="BG127" s="493"/>
      <c r="BH127" s="494"/>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S127" s="532"/>
      <c r="CV127" s="368" t="str">
        <f t="shared" si="64"/>
        <v>Grünland 3 Nutzungen (80 dt/ha TM) Ganzpflanze</v>
      </c>
      <c r="CW127" s="505">
        <f t="shared" si="65"/>
        <v>115</v>
      </c>
    </row>
    <row r="128" spans="1:101" ht="17.25" customHeight="1" x14ac:dyDescent="0.2">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737">
        <f t="shared" si="66"/>
        <v>117</v>
      </c>
      <c r="AX128" s="496" t="s">
        <v>50</v>
      </c>
      <c r="AY128" s="522"/>
      <c r="AZ128" s="497"/>
      <c r="BA128" s="497"/>
      <c r="BB128" s="523">
        <v>2.8</v>
      </c>
      <c r="BC128" s="524">
        <v>0.87</v>
      </c>
      <c r="BD128" s="525">
        <v>0.38</v>
      </c>
      <c r="BE128" s="526"/>
      <c r="BF128" s="493"/>
      <c r="BG128" s="493"/>
      <c r="BH128" s="494"/>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R128" s="368" t="str">
        <f>U73</f>
        <v>Kohlensaurer Kalk 50+35</v>
      </c>
      <c r="CS128" s="532">
        <f>T73</f>
        <v>113</v>
      </c>
      <c r="CV128" s="368" t="str">
        <f t="shared" si="64"/>
        <v>Grünland 4 Nutzungen (90 dt/ha TM) Ganzpflanze</v>
      </c>
      <c r="CW128" s="505">
        <f t="shared" si="65"/>
        <v>116</v>
      </c>
    </row>
    <row r="129" spans="1:101" ht="11.25" customHeight="1" x14ac:dyDescent="0.2">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737">
        <f t="shared" si="66"/>
        <v>118</v>
      </c>
      <c r="AX129" s="1025" t="s">
        <v>484</v>
      </c>
      <c r="AY129" s="1025"/>
      <c r="AZ129" s="1025"/>
      <c r="BA129" s="1025"/>
      <c r="BB129" s="1025"/>
      <c r="BC129" s="1025"/>
      <c r="BD129" s="1025"/>
      <c r="BE129" s="526"/>
      <c r="BF129" s="493"/>
      <c r="BG129" s="493"/>
      <c r="BH129" s="494"/>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R129" s="368" t="str">
        <f>U74</f>
        <v>Branntkalk 85</v>
      </c>
      <c r="CS129" s="532">
        <f>T74</f>
        <v>114</v>
      </c>
      <c r="CV129" s="368" t="str">
        <f t="shared" si="64"/>
        <v>Grünland 5 Nutzungen (110 dt/ha TM) Ganzpflanze</v>
      </c>
      <c r="CW129" s="505">
        <f t="shared" si="65"/>
        <v>117</v>
      </c>
    </row>
    <row r="130" spans="1:101" ht="14.25" x14ac:dyDescent="0.2">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737">
        <f t="shared" si="66"/>
        <v>119</v>
      </c>
      <c r="AX130" s="1025"/>
      <c r="AY130" s="1025"/>
      <c r="AZ130" s="1025"/>
      <c r="BA130" s="1025"/>
      <c r="BB130" s="1025"/>
      <c r="BC130" s="1025"/>
      <c r="BD130" s="1025"/>
      <c r="BE130" s="526"/>
      <c r="BF130" s="493"/>
      <c r="BG130" s="493"/>
      <c r="BH130" s="494"/>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R130" s="368" t="str">
        <f>U75</f>
        <v>Konverterkalk</v>
      </c>
      <c r="CS130" s="532">
        <f>T75</f>
        <v>115</v>
      </c>
      <c r="CW130" s="505"/>
    </row>
    <row r="131" spans="1:101" ht="12.75" customHeight="1" x14ac:dyDescent="0.2">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737">
        <f t="shared" si="66"/>
        <v>120</v>
      </c>
      <c r="AX131" s="1025"/>
      <c r="AY131" s="1025"/>
      <c r="AZ131" s="1025"/>
      <c r="BA131" s="1025"/>
      <c r="BB131" s="1025"/>
      <c r="BC131" s="1025"/>
      <c r="BD131" s="1025"/>
      <c r="BE131" s="526"/>
      <c r="BF131" s="493"/>
      <c r="BG131" s="493"/>
      <c r="BH131" s="494"/>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R131" s="368" t="str">
        <f>U76</f>
        <v>Konverterkalk feucht körnig</v>
      </c>
      <c r="CS131" s="532">
        <f>T76</f>
        <v>116</v>
      </c>
      <c r="CW131" s="505"/>
    </row>
    <row r="132" spans="1:101" ht="27" customHeight="1" x14ac:dyDescent="0.2">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737"/>
      <c r="AX132" s="738"/>
      <c r="AY132" s="739"/>
      <c r="AZ132" s="740" t="s">
        <v>485</v>
      </c>
      <c r="BA132" s="739"/>
      <c r="BB132" s="741" t="s">
        <v>486</v>
      </c>
      <c r="BC132" s="742" t="s">
        <v>487</v>
      </c>
      <c r="BD132" s="743" t="s">
        <v>488</v>
      </c>
      <c r="BE132" s="526"/>
      <c r="BF132" s="493"/>
      <c r="BG132" s="493"/>
      <c r="BH132" s="494"/>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S132" s="532"/>
      <c r="CW132" s="505"/>
    </row>
    <row r="133" spans="1:101" ht="18" customHeight="1" x14ac:dyDescent="0.2">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737">
        <f>AW131+1</f>
        <v>121</v>
      </c>
      <c r="AX133" s="496" t="s">
        <v>489</v>
      </c>
      <c r="AY133" s="522"/>
      <c r="AZ133" s="497">
        <v>31.4</v>
      </c>
      <c r="BA133" s="497"/>
      <c r="BB133" s="523">
        <v>28</v>
      </c>
      <c r="BC133" s="524">
        <v>10.3</v>
      </c>
      <c r="BD133" s="525">
        <v>4.53</v>
      </c>
      <c r="BE133" s="526"/>
      <c r="BF133" s="493"/>
      <c r="BG133" s="493"/>
      <c r="BH133" s="494"/>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R133" s="368" t="str">
        <f t="shared" ref="CR133:CR141" si="67">U77</f>
        <v>Hüttenkalk fein</v>
      </c>
      <c r="CS133" s="532">
        <f t="shared" ref="CS133:CS141" si="68">T77</f>
        <v>117</v>
      </c>
      <c r="CW133" s="505"/>
    </row>
    <row r="134" spans="1:101" ht="18" customHeight="1" x14ac:dyDescent="0.2">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737">
        <f t="shared" ref="AW134:AW165" si="69">AW133+1</f>
        <v>122</v>
      </c>
      <c r="AX134" s="496" t="s">
        <v>490</v>
      </c>
      <c r="AY134" s="522"/>
      <c r="AZ134" s="497">
        <v>37.1</v>
      </c>
      <c r="BA134" s="497"/>
      <c r="BB134" s="523">
        <v>45</v>
      </c>
      <c r="BC134" s="524">
        <v>14.9</v>
      </c>
      <c r="BD134" s="525">
        <v>6.56</v>
      </c>
      <c r="BE134" s="526"/>
      <c r="BF134" s="493"/>
      <c r="BG134" s="493"/>
      <c r="BH134" s="494"/>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R134" s="368" t="str">
        <f t="shared" si="67"/>
        <v>Hüttenkalk gekörnt</v>
      </c>
      <c r="CS134" s="532">
        <f t="shared" si="68"/>
        <v>118</v>
      </c>
      <c r="CV134" s="368" t="str">
        <f t="shared" ref="CV134:CV165" si="70">AX133</f>
        <v>Blumenkohl</v>
      </c>
      <c r="CW134" s="505">
        <f t="shared" ref="CW134:CW165" si="71">AW133</f>
        <v>121</v>
      </c>
    </row>
    <row r="135" spans="1:101" ht="18" customHeight="1" x14ac:dyDescent="0.2">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737">
        <f t="shared" si="69"/>
        <v>123</v>
      </c>
      <c r="AX135" s="496" t="s">
        <v>491</v>
      </c>
      <c r="AY135" s="522"/>
      <c r="AZ135" s="497">
        <v>34.700000000000003</v>
      </c>
      <c r="BA135" s="497"/>
      <c r="BB135" s="523">
        <v>25</v>
      </c>
      <c r="BC135" s="524">
        <v>9.1999999999999993</v>
      </c>
      <c r="BD135" s="525">
        <v>4.05</v>
      </c>
      <c r="BE135" s="526"/>
      <c r="BF135" s="493"/>
      <c r="BG135" s="493"/>
      <c r="BH135" s="494"/>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R135" s="368" t="str">
        <f t="shared" si="67"/>
        <v>Thomaskalk 4</v>
      </c>
      <c r="CS135" s="532">
        <f t="shared" si="68"/>
        <v>119</v>
      </c>
      <c r="CV135" s="368" t="str">
        <f t="shared" si="70"/>
        <v>Brokkoli</v>
      </c>
      <c r="CW135" s="505">
        <f t="shared" si="71"/>
        <v>122</v>
      </c>
    </row>
    <row r="136" spans="1:101" ht="18" customHeight="1" x14ac:dyDescent="0.2">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737">
        <f t="shared" si="69"/>
        <v>124</v>
      </c>
      <c r="AX136" s="496" t="s">
        <v>492</v>
      </c>
      <c r="AY136" s="522"/>
      <c r="AZ136" s="497">
        <v>25</v>
      </c>
      <c r="BA136" s="497"/>
      <c r="BB136" s="523">
        <v>25</v>
      </c>
      <c r="BC136" s="524">
        <v>12.1</v>
      </c>
      <c r="BD136" s="525">
        <v>5.32</v>
      </c>
      <c r="BE136" s="526"/>
      <c r="BF136" s="493"/>
      <c r="BG136" s="493"/>
      <c r="BH136" s="494"/>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R136" s="368" t="str">
        <f t="shared" si="67"/>
        <v>Carbokalk 45</v>
      </c>
      <c r="CS136" s="532">
        <f t="shared" si="68"/>
        <v>120</v>
      </c>
      <c r="CV136" s="368" t="str">
        <f t="shared" si="70"/>
        <v>Buschbohne</v>
      </c>
      <c r="CW136" s="505">
        <f t="shared" si="71"/>
        <v>123</v>
      </c>
    </row>
    <row r="137" spans="1:101" ht="18" customHeight="1" x14ac:dyDescent="0.2">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737">
        <f t="shared" si="69"/>
        <v>125</v>
      </c>
      <c r="AX137" s="496" t="s">
        <v>493</v>
      </c>
      <c r="AY137" s="522"/>
      <c r="AZ137" s="497">
        <v>16.3</v>
      </c>
      <c r="BA137" s="497"/>
      <c r="BB137" s="523">
        <v>15</v>
      </c>
      <c r="BC137" s="524">
        <v>9.1999999999999993</v>
      </c>
      <c r="BD137" s="525">
        <v>4.05</v>
      </c>
      <c r="BE137" s="526"/>
      <c r="BF137" s="493"/>
      <c r="BG137" s="493"/>
      <c r="BH137" s="494"/>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R137" s="368">
        <f t="shared" si="67"/>
        <v>0</v>
      </c>
      <c r="CS137" s="532">
        <f t="shared" si="68"/>
        <v>121</v>
      </c>
      <c r="CV137" s="368" t="str">
        <f t="shared" si="70"/>
        <v>Chicoree</v>
      </c>
      <c r="CW137" s="505">
        <f t="shared" si="71"/>
        <v>124</v>
      </c>
    </row>
    <row r="138" spans="1:101" ht="18" customHeight="1" x14ac:dyDescent="0.2">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737">
        <f t="shared" si="69"/>
        <v>126</v>
      </c>
      <c r="AX138" s="496" t="s">
        <v>494</v>
      </c>
      <c r="AY138" s="522"/>
      <c r="AZ138" s="497">
        <v>30</v>
      </c>
      <c r="BA138" s="497"/>
      <c r="BB138" s="523">
        <v>30</v>
      </c>
      <c r="BC138" s="524">
        <v>9.1999999999999993</v>
      </c>
      <c r="BD138" s="525">
        <v>4.05</v>
      </c>
      <c r="BE138" s="526"/>
      <c r="BF138" s="493"/>
      <c r="BG138" s="493"/>
      <c r="BH138" s="494"/>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R138" s="368">
        <f t="shared" si="67"/>
        <v>0</v>
      </c>
      <c r="CS138" s="532">
        <f t="shared" si="68"/>
        <v>122</v>
      </c>
      <c r="CV138" s="368" t="str">
        <f t="shared" si="70"/>
        <v>Chinakohl</v>
      </c>
      <c r="CW138" s="505">
        <f t="shared" si="71"/>
        <v>125</v>
      </c>
    </row>
    <row r="139" spans="1:101" ht="18" customHeight="1" x14ac:dyDescent="0.2">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737">
        <f t="shared" si="69"/>
        <v>127</v>
      </c>
      <c r="AX139" s="496" t="s">
        <v>495</v>
      </c>
      <c r="AY139" s="522"/>
      <c r="AZ139" s="497">
        <v>30</v>
      </c>
      <c r="BA139" s="497"/>
      <c r="BB139" s="523">
        <v>30</v>
      </c>
      <c r="BC139" s="524">
        <v>9.1999999999999993</v>
      </c>
      <c r="BD139" s="525">
        <v>4.05</v>
      </c>
      <c r="BE139" s="526"/>
      <c r="BF139" s="493"/>
      <c r="BG139" s="493"/>
      <c r="BH139" s="494"/>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R139" s="368">
        <f t="shared" si="67"/>
        <v>0</v>
      </c>
      <c r="CS139" s="532">
        <f t="shared" si="68"/>
        <v>123</v>
      </c>
      <c r="CV139" s="368" t="str">
        <f t="shared" si="70"/>
        <v>Dill, Frischmarkt</v>
      </c>
      <c r="CW139" s="505">
        <f t="shared" si="71"/>
        <v>126</v>
      </c>
    </row>
    <row r="140" spans="1:101" ht="18" customHeight="1" x14ac:dyDescent="0.2">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737">
        <f t="shared" si="69"/>
        <v>128</v>
      </c>
      <c r="AX140" s="496" t="s">
        <v>496</v>
      </c>
      <c r="AY140" s="522"/>
      <c r="AZ140" s="497" t="s">
        <v>189</v>
      </c>
      <c r="BA140" s="497"/>
      <c r="BB140" s="523">
        <v>17</v>
      </c>
      <c r="BC140" s="524">
        <v>5</v>
      </c>
      <c r="BD140" s="525">
        <v>2.2000000000000002</v>
      </c>
      <c r="BE140" s="526"/>
      <c r="BF140" s="493"/>
      <c r="BG140" s="493"/>
      <c r="BH140" s="494"/>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R140" s="368">
        <f t="shared" si="67"/>
        <v>0</v>
      </c>
      <c r="CS140" s="532">
        <f t="shared" si="68"/>
        <v>124</v>
      </c>
      <c r="CV140" s="368" t="str">
        <f t="shared" si="70"/>
        <v>Dill, Industrieware</v>
      </c>
      <c r="CW140" s="505">
        <f t="shared" si="71"/>
        <v>127</v>
      </c>
    </row>
    <row r="141" spans="1:101" ht="18" customHeight="1" x14ac:dyDescent="0.2">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737">
        <f t="shared" si="69"/>
        <v>129</v>
      </c>
      <c r="AX141" s="496" t="s">
        <v>497</v>
      </c>
      <c r="AY141" s="522"/>
      <c r="AZ141" s="497">
        <v>45</v>
      </c>
      <c r="BA141" s="497"/>
      <c r="BB141" s="523">
        <v>45</v>
      </c>
      <c r="BC141" s="524">
        <v>9.9</v>
      </c>
      <c r="BD141" s="525">
        <v>4.3600000000000003</v>
      </c>
      <c r="BE141" s="526"/>
      <c r="BF141" s="493"/>
      <c r="BG141" s="493"/>
      <c r="BH141" s="494"/>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R141" s="368">
        <f t="shared" si="67"/>
        <v>0</v>
      </c>
      <c r="CS141" s="532">
        <f t="shared" si="68"/>
        <v>125</v>
      </c>
      <c r="CV141" s="368" t="str">
        <f t="shared" si="70"/>
        <v>Erdbeeren</v>
      </c>
      <c r="CW141" s="505">
        <f t="shared" si="71"/>
        <v>128</v>
      </c>
    </row>
    <row r="142" spans="1:101" ht="18"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737">
        <f t="shared" si="69"/>
        <v>130</v>
      </c>
      <c r="AX142" s="496" t="s">
        <v>498</v>
      </c>
      <c r="AY142" s="522"/>
      <c r="AZ142" s="497">
        <v>45</v>
      </c>
      <c r="BA142" s="497"/>
      <c r="BB142" s="523">
        <v>45</v>
      </c>
      <c r="BC142" s="524">
        <v>9.9</v>
      </c>
      <c r="BD142" s="525">
        <v>4.3600000000000003</v>
      </c>
      <c r="BE142" s="526"/>
      <c r="BF142" s="493"/>
      <c r="BG142" s="493"/>
      <c r="BH142" s="494"/>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S142" s="532"/>
      <c r="CV142" s="368" t="str">
        <f t="shared" si="70"/>
        <v>Feldsalat</v>
      </c>
      <c r="CW142" s="505">
        <f t="shared" si="71"/>
        <v>129</v>
      </c>
    </row>
    <row r="143" spans="1:101" ht="18" customHeight="1" x14ac:dyDescent="0.2">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737">
        <f t="shared" si="69"/>
        <v>131</v>
      </c>
      <c r="AX143" s="496" t="s">
        <v>499</v>
      </c>
      <c r="AY143" s="522"/>
      <c r="AZ143" s="497">
        <v>52</v>
      </c>
      <c r="BA143" s="497"/>
      <c r="BB143" s="523">
        <v>100</v>
      </c>
      <c r="BC143" s="524">
        <v>22.9</v>
      </c>
      <c r="BD143" s="525">
        <v>10.08</v>
      </c>
      <c r="BE143" s="526"/>
      <c r="BF143" s="493"/>
      <c r="BG143" s="493"/>
      <c r="BH143" s="494"/>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S143" s="532"/>
      <c r="CV143" s="368" t="str">
        <f t="shared" si="70"/>
        <v>Feldsalat, großblättrig</v>
      </c>
      <c r="CW143" s="505">
        <f t="shared" si="71"/>
        <v>130</v>
      </c>
    </row>
    <row r="144" spans="1:101" ht="18" customHeight="1" x14ac:dyDescent="0.2">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737">
        <f t="shared" si="69"/>
        <v>132</v>
      </c>
      <c r="AX144" s="496" t="s">
        <v>500</v>
      </c>
      <c r="AY144" s="522"/>
      <c r="AZ144" s="497">
        <v>46.2</v>
      </c>
      <c r="BA144" s="497"/>
      <c r="BB144" s="523">
        <v>49</v>
      </c>
      <c r="BC144" s="524">
        <v>16.3</v>
      </c>
      <c r="BD144" s="525">
        <v>7.17</v>
      </c>
      <c r="BE144" s="526"/>
      <c r="BF144" s="493"/>
      <c r="BG144" s="493"/>
      <c r="BH144" s="494"/>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S144" s="532"/>
      <c r="CV144" s="368" t="str">
        <f t="shared" si="70"/>
        <v>Gemüseerbse</v>
      </c>
      <c r="CW144" s="505">
        <f t="shared" si="71"/>
        <v>131</v>
      </c>
    </row>
    <row r="145" spans="1:101" ht="18" customHeight="1" x14ac:dyDescent="0.2">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737">
        <f t="shared" si="69"/>
        <v>133</v>
      </c>
      <c r="AX145" s="496" t="s">
        <v>501</v>
      </c>
      <c r="AY145" s="522"/>
      <c r="AZ145" s="497">
        <v>17.100000000000001</v>
      </c>
      <c r="BA145" s="497"/>
      <c r="BB145" s="523">
        <v>15</v>
      </c>
      <c r="BC145" s="524">
        <v>6.9</v>
      </c>
      <c r="BD145" s="525">
        <v>3.04</v>
      </c>
      <c r="BE145" s="526"/>
      <c r="BF145" s="493"/>
      <c r="BG145" s="493"/>
      <c r="BH145" s="494"/>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S145" s="532"/>
      <c r="CV145" s="368" t="str">
        <f t="shared" si="70"/>
        <v>Grünkohl</v>
      </c>
      <c r="CW145" s="505">
        <f t="shared" si="71"/>
        <v>132</v>
      </c>
    </row>
    <row r="146" spans="1:101" ht="18" customHeight="1" x14ac:dyDescent="0.2">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737">
        <f t="shared" si="69"/>
        <v>134</v>
      </c>
      <c r="AX146" s="496" t="s">
        <v>502</v>
      </c>
      <c r="AY146" s="522"/>
      <c r="AZ146" s="497">
        <v>24.3</v>
      </c>
      <c r="BA146" s="497"/>
      <c r="BB146" s="523">
        <v>20</v>
      </c>
      <c r="BC146" s="524">
        <v>6.9</v>
      </c>
      <c r="BD146" s="525">
        <v>3.04</v>
      </c>
      <c r="BE146" s="526"/>
      <c r="BF146" s="493"/>
      <c r="BG146" s="493"/>
      <c r="BH146" s="494"/>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S146" s="532"/>
      <c r="CV146" s="368" t="str">
        <f t="shared" si="70"/>
        <v>Gurke, Einleger</v>
      </c>
      <c r="CW146" s="505">
        <f t="shared" si="71"/>
        <v>133</v>
      </c>
    </row>
    <row r="147" spans="1:101" ht="18"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737">
        <f t="shared" si="69"/>
        <v>135</v>
      </c>
      <c r="AX147" s="496" t="s">
        <v>503</v>
      </c>
      <c r="AY147" s="522"/>
      <c r="AZ147" s="497">
        <v>29.8</v>
      </c>
      <c r="BA147" s="497"/>
      <c r="BB147" s="523">
        <v>28</v>
      </c>
      <c r="BC147" s="524">
        <v>10.3</v>
      </c>
      <c r="BD147" s="525">
        <v>4.53</v>
      </c>
      <c r="BE147" s="526"/>
      <c r="BF147" s="493"/>
      <c r="BG147" s="493"/>
      <c r="BH147" s="494"/>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S147" s="532"/>
      <c r="CV147" s="368" t="str">
        <f t="shared" si="70"/>
        <v>Knollenfenchel</v>
      </c>
      <c r="CW147" s="505">
        <f t="shared" si="71"/>
        <v>134</v>
      </c>
    </row>
    <row r="148" spans="1:101" ht="18" customHeight="1" x14ac:dyDescent="0.2">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737">
        <f t="shared" si="69"/>
        <v>136</v>
      </c>
      <c r="AX148" s="496" t="s">
        <v>504</v>
      </c>
      <c r="AY148" s="522"/>
      <c r="AZ148" s="497" t="s">
        <v>189</v>
      </c>
      <c r="BA148" s="497"/>
      <c r="BB148" s="523">
        <v>26</v>
      </c>
      <c r="BC148" s="524">
        <v>11.5</v>
      </c>
      <c r="BD148" s="525">
        <v>5.0599999999999996</v>
      </c>
      <c r="BE148" s="526"/>
      <c r="BF148" s="493"/>
      <c r="BG148" s="493"/>
      <c r="BH148" s="494"/>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S148" s="532"/>
      <c r="CV148" s="368" t="str">
        <f t="shared" si="70"/>
        <v>Kohlrabi</v>
      </c>
      <c r="CW148" s="505">
        <f t="shared" si="71"/>
        <v>135</v>
      </c>
    </row>
    <row r="149" spans="1:101" ht="18" customHeight="1" x14ac:dyDescent="0.2">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737">
        <f t="shared" si="69"/>
        <v>137</v>
      </c>
      <c r="AX149" s="496" t="s">
        <v>505</v>
      </c>
      <c r="AY149" s="522"/>
      <c r="AZ149" s="497">
        <v>25</v>
      </c>
      <c r="BA149" s="497"/>
      <c r="BB149" s="523">
        <v>25</v>
      </c>
      <c r="BC149" s="524">
        <v>20.6</v>
      </c>
      <c r="BD149" s="525">
        <v>9.06</v>
      </c>
      <c r="BE149" s="526"/>
      <c r="BF149" s="493"/>
      <c r="BG149" s="493"/>
      <c r="BH149" s="494"/>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S149" s="532"/>
      <c r="CV149" s="368" t="str">
        <f t="shared" si="70"/>
        <v>Kohlrübe</v>
      </c>
      <c r="CW149" s="505">
        <f t="shared" si="71"/>
        <v>136</v>
      </c>
    </row>
    <row r="150" spans="1:101" ht="18" customHeight="1" x14ac:dyDescent="0.2">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737">
        <f t="shared" si="69"/>
        <v>138</v>
      </c>
      <c r="AX150" s="496" t="s">
        <v>506</v>
      </c>
      <c r="AY150" s="522"/>
      <c r="AZ150" s="497">
        <v>17</v>
      </c>
      <c r="BA150" s="497"/>
      <c r="BB150" s="523">
        <v>17</v>
      </c>
      <c r="BC150" s="524">
        <v>10.3</v>
      </c>
      <c r="BD150" s="525">
        <v>4.53</v>
      </c>
      <c r="BE150" s="526"/>
      <c r="BF150" s="493"/>
      <c r="BG150" s="493"/>
      <c r="BH150" s="494"/>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S150" s="532"/>
      <c r="CV150" s="368" t="str">
        <f t="shared" si="70"/>
        <v>Kürbis</v>
      </c>
      <c r="CW150" s="505">
        <f t="shared" si="71"/>
        <v>137</v>
      </c>
    </row>
    <row r="151" spans="1:101" ht="18" customHeight="1" x14ac:dyDescent="0.2">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737">
        <f t="shared" si="69"/>
        <v>139</v>
      </c>
      <c r="AX151" s="496" t="s">
        <v>507</v>
      </c>
      <c r="AY151" s="522"/>
      <c r="AZ151" s="497">
        <v>17</v>
      </c>
      <c r="BA151" s="497"/>
      <c r="BB151" s="523">
        <v>17</v>
      </c>
      <c r="BC151" s="524">
        <v>8.1999999999999993</v>
      </c>
      <c r="BD151" s="525">
        <v>3.61</v>
      </c>
      <c r="BE151" s="526"/>
      <c r="BF151" s="493"/>
      <c r="BG151" s="493"/>
      <c r="BH151" s="494"/>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V151" s="368" t="str">
        <f t="shared" si="70"/>
        <v>Mairüben (mit Laub)</v>
      </c>
      <c r="CW151" s="505">
        <f t="shared" si="71"/>
        <v>138</v>
      </c>
    </row>
    <row r="152" spans="1:101" ht="18" customHeight="1" x14ac:dyDescent="0.2">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737">
        <f t="shared" si="69"/>
        <v>140</v>
      </c>
      <c r="AX152" s="496" t="s">
        <v>508</v>
      </c>
      <c r="AY152" s="522"/>
      <c r="AZ152" s="497">
        <v>17.3</v>
      </c>
      <c r="BA152" s="497"/>
      <c r="BB152" s="523">
        <v>13</v>
      </c>
      <c r="BC152" s="524">
        <v>8</v>
      </c>
      <c r="BD152" s="525">
        <v>3.52</v>
      </c>
      <c r="BE152" s="526"/>
      <c r="BF152" s="493"/>
      <c r="BG152" s="493"/>
      <c r="BH152" s="494"/>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V152" s="368" t="str">
        <f t="shared" si="70"/>
        <v>Möhre, Bund-</v>
      </c>
      <c r="CW152" s="505">
        <f t="shared" si="71"/>
        <v>139</v>
      </c>
    </row>
    <row r="153" spans="1:101" ht="18" customHeight="1" x14ac:dyDescent="0.2">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737">
        <f t="shared" si="69"/>
        <v>141</v>
      </c>
      <c r="AX153" s="496" t="s">
        <v>509</v>
      </c>
      <c r="AY153" s="522"/>
      <c r="AZ153" s="497">
        <v>16.8</v>
      </c>
      <c r="BA153" s="497"/>
      <c r="BB153" s="523">
        <v>13</v>
      </c>
      <c r="BC153" s="524">
        <v>8</v>
      </c>
      <c r="BD153" s="525">
        <v>3.52</v>
      </c>
      <c r="BE153" s="526"/>
      <c r="BF153" s="493"/>
      <c r="BG153" s="493"/>
      <c r="BH153" s="494"/>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V153" s="368" t="str">
        <f t="shared" si="70"/>
        <v>Möhre, Industrie</v>
      </c>
      <c r="CW153" s="505">
        <f t="shared" si="71"/>
        <v>140</v>
      </c>
    </row>
    <row r="154" spans="1:101" ht="18" customHeight="1" x14ac:dyDescent="0.2">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737">
        <f t="shared" si="69"/>
        <v>142</v>
      </c>
      <c r="AX154" s="496" t="s">
        <v>510</v>
      </c>
      <c r="AY154" s="496"/>
      <c r="AZ154" s="497">
        <v>33.299999999999997</v>
      </c>
      <c r="BA154" s="497"/>
      <c r="BB154" s="579">
        <v>25</v>
      </c>
      <c r="BC154" s="524">
        <v>23.6</v>
      </c>
      <c r="BD154" s="525">
        <v>10.38</v>
      </c>
      <c r="BE154" s="526"/>
      <c r="BF154" s="493"/>
      <c r="BG154" s="493"/>
      <c r="BH154" s="494"/>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V154" s="368" t="str">
        <f t="shared" si="70"/>
        <v>Möhre, Wasch-</v>
      </c>
      <c r="CW154" s="505">
        <f t="shared" si="71"/>
        <v>141</v>
      </c>
    </row>
    <row r="155" spans="1:101" ht="18" customHeight="1" x14ac:dyDescent="0.2">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737">
        <f t="shared" si="69"/>
        <v>143</v>
      </c>
      <c r="AX155" s="496" t="s">
        <v>511</v>
      </c>
      <c r="AY155" s="522"/>
      <c r="AZ155" s="497">
        <v>45</v>
      </c>
      <c r="BA155" s="497"/>
      <c r="BB155" s="523">
        <v>45</v>
      </c>
      <c r="BC155" s="524">
        <v>11.5</v>
      </c>
      <c r="BD155" s="525">
        <v>5.0599999999999996</v>
      </c>
      <c r="BE155" s="526"/>
      <c r="BF155" s="493"/>
      <c r="BG155" s="493"/>
      <c r="BH155" s="494"/>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V155" s="368" t="str">
        <f t="shared" si="70"/>
        <v>Pastinake</v>
      </c>
      <c r="CW155" s="505">
        <f t="shared" si="71"/>
        <v>142</v>
      </c>
    </row>
    <row r="156" spans="1:101" ht="18" customHeight="1" x14ac:dyDescent="0.2">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737">
        <f t="shared" si="69"/>
        <v>144</v>
      </c>
      <c r="AX156" s="496" t="s">
        <v>512</v>
      </c>
      <c r="AY156" s="522"/>
      <c r="AZ156" s="497">
        <v>43.6</v>
      </c>
      <c r="BA156" s="497"/>
      <c r="BB156" s="523">
        <v>45</v>
      </c>
      <c r="BC156" s="524">
        <v>11.5</v>
      </c>
      <c r="BD156" s="525">
        <v>5.0599999999999996</v>
      </c>
      <c r="BE156" s="526"/>
      <c r="BF156" s="493"/>
      <c r="BG156" s="493"/>
      <c r="BH156" s="494"/>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V156" s="368" t="str">
        <f t="shared" si="70"/>
        <v>Petersilie, Blatt-, bis 1. Schnitt</v>
      </c>
      <c r="CW156" s="505">
        <f t="shared" si="71"/>
        <v>143</v>
      </c>
    </row>
    <row r="157" spans="1:101" ht="18" customHeight="1" x14ac:dyDescent="0.2">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737">
        <f t="shared" si="69"/>
        <v>145</v>
      </c>
      <c r="AX157" s="496" t="s">
        <v>513</v>
      </c>
      <c r="AY157" s="522"/>
      <c r="AZ157" s="497">
        <v>42</v>
      </c>
      <c r="BA157" s="497"/>
      <c r="BB157" s="523">
        <v>42</v>
      </c>
      <c r="BC157" s="524">
        <v>13.7</v>
      </c>
      <c r="BD157" s="525">
        <v>6.03</v>
      </c>
      <c r="BE157" s="526"/>
      <c r="BF157" s="493"/>
      <c r="BG157" s="493"/>
      <c r="BH157" s="494"/>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V157" s="368" t="str">
        <f t="shared" si="70"/>
        <v>Petersilie, Blatt-, nach einem Schnitt</v>
      </c>
      <c r="CW157" s="505">
        <f t="shared" si="71"/>
        <v>144</v>
      </c>
    </row>
    <row r="158" spans="1:101" ht="18" customHeight="1" x14ac:dyDescent="0.2">
      <c r="A158" s="50"/>
      <c r="B158" s="50"/>
      <c r="C158" s="50"/>
      <c r="D158" s="50"/>
      <c r="E158" s="50"/>
      <c r="F158" s="50"/>
      <c r="G158" s="50"/>
      <c r="H158" s="368"/>
      <c r="I158" s="368"/>
      <c r="J158" s="368"/>
      <c r="K158" s="50"/>
      <c r="L158" s="50"/>
      <c r="M158" s="50"/>
      <c r="N158" s="50"/>
      <c r="O158" s="50"/>
      <c r="P158" s="50"/>
      <c r="Q158" s="50"/>
      <c r="R158" s="368"/>
      <c r="S158" s="50"/>
      <c r="T158" s="50"/>
      <c r="U158" s="50"/>
      <c r="V158" s="50"/>
      <c r="W158" s="50"/>
      <c r="X158" s="50"/>
      <c r="Y158" s="50"/>
      <c r="Z158" s="368"/>
      <c r="AA158" s="50"/>
      <c r="AB158" s="50"/>
      <c r="AC158" s="50"/>
      <c r="AD158" s="50"/>
      <c r="AE158" s="50"/>
      <c r="AF158" s="50"/>
      <c r="AG158" s="50"/>
      <c r="AH158" s="368"/>
      <c r="AI158" s="368"/>
      <c r="AJ158" s="50"/>
      <c r="AK158" s="50"/>
      <c r="AL158" s="50"/>
      <c r="AM158" s="50"/>
      <c r="AN158" s="50"/>
      <c r="AO158" s="50"/>
      <c r="AP158" s="50"/>
      <c r="AQ158" s="368"/>
      <c r="AR158" s="368"/>
      <c r="AS158" s="368"/>
      <c r="AT158" s="368"/>
      <c r="AU158" s="368"/>
      <c r="AV158" s="368"/>
      <c r="AW158" s="737">
        <f t="shared" si="69"/>
        <v>146</v>
      </c>
      <c r="AX158" s="496" t="s">
        <v>514</v>
      </c>
      <c r="AY158" s="522"/>
      <c r="AZ158" s="497">
        <v>27</v>
      </c>
      <c r="BA158" s="497"/>
      <c r="BB158" s="523">
        <v>25</v>
      </c>
      <c r="BC158" s="524">
        <v>8</v>
      </c>
      <c r="BD158" s="525">
        <v>3.52</v>
      </c>
      <c r="BE158" s="526"/>
      <c r="BF158" s="493"/>
      <c r="BG158" s="493"/>
      <c r="BH158" s="494"/>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V158" s="368" t="str">
        <f t="shared" si="70"/>
        <v>Petersilie, Wurzel-</v>
      </c>
      <c r="CW158" s="505">
        <f t="shared" si="71"/>
        <v>145</v>
      </c>
    </row>
    <row r="159" spans="1:101" ht="18" customHeight="1" x14ac:dyDescent="0.2">
      <c r="A159" s="50"/>
      <c r="B159" s="50"/>
      <c r="C159" s="50"/>
      <c r="D159" s="50"/>
      <c r="E159" s="50"/>
      <c r="F159" s="50"/>
      <c r="G159" s="50"/>
      <c r="H159" s="368"/>
      <c r="I159" s="368"/>
      <c r="J159" s="368"/>
      <c r="K159" s="50"/>
      <c r="L159" s="50"/>
      <c r="M159" s="50"/>
      <c r="N159" s="50"/>
      <c r="O159" s="50"/>
      <c r="P159" s="50"/>
      <c r="Q159" s="50"/>
      <c r="R159" s="368"/>
      <c r="S159" s="50"/>
      <c r="T159" s="50"/>
      <c r="U159" s="50"/>
      <c r="V159" s="50"/>
      <c r="W159" s="50"/>
      <c r="X159" s="50"/>
      <c r="Y159" s="50"/>
      <c r="Z159" s="368"/>
      <c r="AA159" s="50"/>
      <c r="AB159" s="50"/>
      <c r="AC159" s="50"/>
      <c r="AD159" s="50"/>
      <c r="AE159" s="50"/>
      <c r="AF159" s="50"/>
      <c r="AG159" s="50"/>
      <c r="AH159" s="368"/>
      <c r="AI159" s="368"/>
      <c r="AJ159" s="50"/>
      <c r="AK159" s="50"/>
      <c r="AL159" s="50"/>
      <c r="AM159" s="50"/>
      <c r="AN159" s="50"/>
      <c r="AO159" s="50"/>
      <c r="AP159" s="50"/>
      <c r="AQ159" s="368"/>
      <c r="AR159" s="368"/>
      <c r="AS159" s="368"/>
      <c r="AT159" s="368"/>
      <c r="AU159" s="368"/>
      <c r="AV159" s="368"/>
      <c r="AW159" s="737">
        <f t="shared" si="69"/>
        <v>147</v>
      </c>
      <c r="AX159" s="496" t="s">
        <v>515</v>
      </c>
      <c r="AY159" s="522"/>
      <c r="AZ159" s="497">
        <v>20</v>
      </c>
      <c r="BA159" s="497"/>
      <c r="BB159" s="523">
        <v>20</v>
      </c>
      <c r="BC159" s="524">
        <v>6.9</v>
      </c>
      <c r="BD159" s="525">
        <v>3.04</v>
      </c>
      <c r="BE159" s="526"/>
      <c r="BF159" s="493"/>
      <c r="BG159" s="493"/>
      <c r="BH159" s="494"/>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V159" s="368" t="str">
        <f t="shared" si="70"/>
        <v>Porree</v>
      </c>
      <c r="CW159" s="505">
        <f t="shared" si="71"/>
        <v>146</v>
      </c>
    </row>
    <row r="160" spans="1:101" ht="18" customHeight="1" x14ac:dyDescent="0.2">
      <c r="A160" s="50"/>
      <c r="B160" s="50"/>
      <c r="C160" s="50"/>
      <c r="D160" s="50"/>
      <c r="E160" s="50"/>
      <c r="F160" s="50"/>
      <c r="G160" s="50"/>
      <c r="H160" s="368"/>
      <c r="I160" s="368"/>
      <c r="J160" s="368"/>
      <c r="K160" s="50"/>
      <c r="L160" s="50"/>
      <c r="M160" s="50"/>
      <c r="N160" s="50"/>
      <c r="O160" s="50"/>
      <c r="P160" s="50"/>
      <c r="Q160" s="50"/>
      <c r="R160" s="368"/>
      <c r="S160" s="50"/>
      <c r="T160" s="50"/>
      <c r="U160" s="50"/>
      <c r="V160" s="50"/>
      <c r="W160" s="50"/>
      <c r="X160" s="50"/>
      <c r="Y160" s="50"/>
      <c r="Z160" s="368"/>
      <c r="AA160" s="50"/>
      <c r="AB160" s="50"/>
      <c r="AC160" s="50"/>
      <c r="AD160" s="50"/>
      <c r="AE160" s="50"/>
      <c r="AF160" s="50"/>
      <c r="AG160" s="50"/>
      <c r="AH160" s="368"/>
      <c r="AI160" s="368"/>
      <c r="AJ160" s="50"/>
      <c r="AK160" s="50"/>
      <c r="AL160" s="50"/>
      <c r="AM160" s="50"/>
      <c r="AN160" s="50"/>
      <c r="AO160" s="50"/>
      <c r="AP160" s="50"/>
      <c r="AQ160" s="368"/>
      <c r="AR160" s="368"/>
      <c r="AS160" s="368"/>
      <c r="AT160" s="368"/>
      <c r="AU160" s="368"/>
      <c r="AV160" s="368"/>
      <c r="AW160" s="737">
        <f t="shared" si="69"/>
        <v>148</v>
      </c>
      <c r="AX160" s="496" t="s">
        <v>516</v>
      </c>
      <c r="AY160" s="522"/>
      <c r="AZ160" s="497">
        <v>17</v>
      </c>
      <c r="BA160" s="497"/>
      <c r="BB160" s="523">
        <v>17</v>
      </c>
      <c r="BC160" s="524">
        <v>7.6</v>
      </c>
      <c r="BD160" s="525">
        <v>3.34</v>
      </c>
      <c r="BE160" s="526"/>
      <c r="BF160" s="493"/>
      <c r="BG160" s="493"/>
      <c r="BH160" s="494"/>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V160" s="368" t="str">
        <f t="shared" si="70"/>
        <v>Radies</v>
      </c>
      <c r="CW160" s="505">
        <f t="shared" si="71"/>
        <v>147</v>
      </c>
    </row>
    <row r="161" spans="1:101" ht="18" customHeight="1" x14ac:dyDescent="0.2">
      <c r="A161" s="51"/>
      <c r="B161" s="50"/>
      <c r="C161" s="50"/>
      <c r="D161" s="50"/>
      <c r="E161" s="50"/>
      <c r="F161" s="50"/>
      <c r="G161" s="50"/>
      <c r="H161" s="368"/>
      <c r="I161" s="368"/>
      <c r="J161" s="368"/>
      <c r="K161" s="51"/>
      <c r="L161" s="50"/>
      <c r="M161" s="50"/>
      <c r="N161" s="50"/>
      <c r="O161" s="50"/>
      <c r="P161" s="50"/>
      <c r="Q161" s="50"/>
      <c r="R161" s="368"/>
      <c r="S161" s="51"/>
      <c r="T161" s="50"/>
      <c r="U161" s="50"/>
      <c r="V161" s="50"/>
      <c r="W161" s="50"/>
      <c r="X161" s="50"/>
      <c r="Y161" s="50"/>
      <c r="Z161" s="368"/>
      <c r="AA161" s="51"/>
      <c r="AB161" s="50"/>
      <c r="AC161" s="50"/>
      <c r="AD161" s="50"/>
      <c r="AE161" s="50"/>
      <c r="AF161" s="50"/>
      <c r="AG161" s="50"/>
      <c r="AH161" s="368"/>
      <c r="AI161" s="368"/>
      <c r="AJ161" s="51"/>
      <c r="AK161" s="50"/>
      <c r="AL161" s="50"/>
      <c r="AM161" s="50"/>
      <c r="AN161" s="50"/>
      <c r="AO161" s="50"/>
      <c r="AP161" s="50"/>
      <c r="AQ161" s="368"/>
      <c r="AR161" s="368"/>
      <c r="AS161" s="368"/>
      <c r="AT161" s="368"/>
      <c r="AU161" s="368"/>
      <c r="AV161" s="368"/>
      <c r="AW161" s="737">
        <f t="shared" si="69"/>
        <v>149</v>
      </c>
      <c r="AX161" s="496" t="s">
        <v>517</v>
      </c>
      <c r="AY161" s="522"/>
      <c r="AZ161" s="497">
        <v>17.100000000000001</v>
      </c>
      <c r="BA161" s="497"/>
      <c r="BB161" s="523">
        <v>14</v>
      </c>
      <c r="BC161" s="524">
        <v>8</v>
      </c>
      <c r="BD161" s="525">
        <v>3.52</v>
      </c>
      <c r="BE161" s="526"/>
      <c r="BF161" s="493"/>
      <c r="BG161" s="493"/>
      <c r="BH161" s="494"/>
      <c r="BI161" s="51"/>
      <c r="BJ161" s="50"/>
      <c r="BK161" s="50"/>
      <c r="BL161" s="50"/>
      <c r="BM161" s="50"/>
      <c r="BN161" s="50"/>
      <c r="BO161" s="50"/>
      <c r="BP161" s="51"/>
      <c r="BQ161" s="50"/>
      <c r="BR161" s="50"/>
      <c r="BS161" s="50"/>
      <c r="BT161" s="50"/>
      <c r="BU161" s="50"/>
      <c r="BV161" s="50"/>
      <c r="BW161" s="51"/>
      <c r="BX161" s="50"/>
      <c r="BY161" s="50"/>
      <c r="BZ161" s="50"/>
      <c r="CA161" s="50"/>
      <c r="CB161" s="50"/>
      <c r="CC161" s="50"/>
      <c r="CD161" s="51"/>
      <c r="CE161" s="50"/>
      <c r="CF161" s="50"/>
      <c r="CG161" s="50"/>
      <c r="CH161" s="50"/>
      <c r="CI161" s="50"/>
      <c r="CJ161" s="50"/>
      <c r="CV161" s="368" t="str">
        <f t="shared" si="70"/>
        <v>Rettich, Bund-</v>
      </c>
      <c r="CW161" s="505">
        <f t="shared" si="71"/>
        <v>148</v>
      </c>
    </row>
    <row r="162" spans="1:101" ht="18" customHeight="1" x14ac:dyDescent="0.2">
      <c r="A162" s="51"/>
      <c r="B162" s="51"/>
      <c r="C162" s="51"/>
      <c r="D162" s="51"/>
      <c r="E162" s="51"/>
      <c r="F162" s="51"/>
      <c r="G162" s="51"/>
      <c r="H162" s="368"/>
      <c r="I162" s="368"/>
      <c r="J162" s="368"/>
      <c r="K162" s="51"/>
      <c r="L162" s="51"/>
      <c r="M162" s="51"/>
      <c r="N162" s="51"/>
      <c r="O162" s="51"/>
      <c r="P162" s="51"/>
      <c r="Q162" s="51"/>
      <c r="R162" s="368"/>
      <c r="S162" s="51"/>
      <c r="T162" s="51"/>
      <c r="U162" s="51"/>
      <c r="V162" s="51"/>
      <c r="W162" s="51"/>
      <c r="X162" s="51"/>
      <c r="Y162" s="51"/>
      <c r="Z162" s="368"/>
      <c r="AA162" s="51"/>
      <c r="AB162" s="51"/>
      <c r="AC162" s="51"/>
      <c r="AD162" s="51"/>
      <c r="AE162" s="51"/>
      <c r="AF162" s="51"/>
      <c r="AG162" s="51"/>
      <c r="AH162" s="368"/>
      <c r="AI162" s="368"/>
      <c r="AJ162" s="51"/>
      <c r="AK162" s="51"/>
      <c r="AL162" s="51"/>
      <c r="AM162" s="51"/>
      <c r="AN162" s="51"/>
      <c r="AO162" s="51"/>
      <c r="AP162" s="51"/>
      <c r="AQ162" s="368"/>
      <c r="AR162" s="368"/>
      <c r="AS162" s="368"/>
      <c r="AT162" s="368"/>
      <c r="AU162" s="368"/>
      <c r="AV162" s="368"/>
      <c r="AW162" s="737">
        <f t="shared" si="69"/>
        <v>150</v>
      </c>
      <c r="AX162" s="496" t="s">
        <v>518</v>
      </c>
      <c r="AY162" s="522"/>
      <c r="AZ162" s="497">
        <v>13.1</v>
      </c>
      <c r="BA162" s="497"/>
      <c r="BB162" s="523">
        <v>10</v>
      </c>
      <c r="BC162" s="524">
        <v>6</v>
      </c>
      <c r="BD162" s="525">
        <v>2.64</v>
      </c>
      <c r="BE162" s="526"/>
      <c r="BF162" s="493"/>
      <c r="BG162" s="493"/>
      <c r="BH162" s="494"/>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V162" s="368" t="str">
        <f t="shared" si="70"/>
        <v>Rettich, deutsch</v>
      </c>
      <c r="CW162" s="505">
        <f t="shared" si="71"/>
        <v>149</v>
      </c>
    </row>
    <row r="163" spans="1:101" ht="18" customHeight="1" x14ac:dyDescent="0.2">
      <c r="A163" s="51"/>
      <c r="B163" s="51"/>
      <c r="C163" s="51"/>
      <c r="D163" s="51"/>
      <c r="E163" s="51"/>
      <c r="F163" s="51"/>
      <c r="G163" s="51"/>
      <c r="H163" s="368"/>
      <c r="I163" s="368"/>
      <c r="J163" s="368"/>
      <c r="K163" s="51"/>
      <c r="L163" s="51"/>
      <c r="M163" s="51"/>
      <c r="N163" s="51"/>
      <c r="O163" s="51"/>
      <c r="P163" s="51"/>
      <c r="Q163" s="51"/>
      <c r="R163" s="368"/>
      <c r="S163" s="51"/>
      <c r="T163" s="51"/>
      <c r="U163" s="51"/>
      <c r="V163" s="51"/>
      <c r="W163" s="51"/>
      <c r="X163" s="51"/>
      <c r="Y163" s="51"/>
      <c r="Z163" s="368"/>
      <c r="AA163" s="51"/>
      <c r="AB163" s="51"/>
      <c r="AC163" s="51"/>
      <c r="AD163" s="51"/>
      <c r="AE163" s="51"/>
      <c r="AF163" s="51"/>
      <c r="AG163" s="51"/>
      <c r="AH163" s="368"/>
      <c r="AI163" s="368"/>
      <c r="AJ163" s="51"/>
      <c r="AK163" s="51"/>
      <c r="AL163" s="51"/>
      <c r="AM163" s="51"/>
      <c r="AN163" s="51"/>
      <c r="AO163" s="51"/>
      <c r="AP163" s="51"/>
      <c r="AQ163" s="368"/>
      <c r="AR163" s="368"/>
      <c r="AS163" s="368"/>
      <c r="AT163" s="368"/>
      <c r="AU163" s="368"/>
      <c r="AV163" s="368"/>
      <c r="AW163" s="737">
        <f t="shared" si="69"/>
        <v>151</v>
      </c>
      <c r="AX163" s="496" t="s">
        <v>519</v>
      </c>
      <c r="AY163" s="522"/>
      <c r="AZ163" s="497" t="s">
        <v>189</v>
      </c>
      <c r="BA163" s="497"/>
      <c r="BB163" s="523">
        <v>18</v>
      </c>
      <c r="BC163" s="524">
        <v>4.8</v>
      </c>
      <c r="BD163" s="525">
        <v>2.11</v>
      </c>
      <c r="BE163" s="526"/>
      <c r="BF163" s="493"/>
      <c r="BG163" s="493"/>
      <c r="BH163" s="494"/>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V163" s="368" t="str">
        <f t="shared" si="70"/>
        <v>Rettich, japanisch</v>
      </c>
      <c r="CW163" s="505">
        <f t="shared" si="71"/>
        <v>150</v>
      </c>
    </row>
    <row r="164" spans="1:101" ht="18" customHeight="1" x14ac:dyDescent="0.2">
      <c r="A164" s="51"/>
      <c r="B164" s="51"/>
      <c r="C164" s="51"/>
      <c r="D164" s="51"/>
      <c r="E164" s="51"/>
      <c r="F164" s="51"/>
      <c r="G164" s="51"/>
      <c r="H164" s="368"/>
      <c r="I164" s="368"/>
      <c r="J164" s="368"/>
      <c r="K164" s="51"/>
      <c r="L164" s="51"/>
      <c r="M164" s="51"/>
      <c r="N164" s="51"/>
      <c r="O164" s="51"/>
      <c r="P164" s="51"/>
      <c r="Q164" s="51"/>
      <c r="R164" s="368"/>
      <c r="S164" s="51"/>
      <c r="T164" s="51"/>
      <c r="U164" s="51"/>
      <c r="V164" s="51"/>
      <c r="W164" s="51"/>
      <c r="X164" s="51"/>
      <c r="Y164" s="51"/>
      <c r="Z164" s="368"/>
      <c r="AA164" s="51"/>
      <c r="AB164" s="51"/>
      <c r="AC164" s="51"/>
      <c r="AD164" s="51"/>
      <c r="AE164" s="51"/>
      <c r="AF164" s="51"/>
      <c r="AG164" s="51"/>
      <c r="AH164" s="368"/>
      <c r="AI164" s="368"/>
      <c r="AJ164" s="51"/>
      <c r="AK164" s="51"/>
      <c r="AL164" s="51"/>
      <c r="AM164" s="51"/>
      <c r="AN164" s="51"/>
      <c r="AO164" s="51"/>
      <c r="AP164" s="51"/>
      <c r="AQ164" s="368"/>
      <c r="AR164" s="368"/>
      <c r="AS164" s="368"/>
      <c r="AT164" s="368"/>
      <c r="AU164" s="368"/>
      <c r="AV164" s="368"/>
      <c r="AW164" s="737">
        <f t="shared" si="69"/>
        <v>152</v>
      </c>
      <c r="AX164" s="496" t="s">
        <v>520</v>
      </c>
      <c r="AY164" s="522"/>
      <c r="AZ164" s="497">
        <v>46.9</v>
      </c>
      <c r="BA164" s="497"/>
      <c r="BB164" s="523">
        <v>65</v>
      </c>
      <c r="BC164" s="524">
        <v>19.5</v>
      </c>
      <c r="BD164" s="525">
        <v>8.58</v>
      </c>
      <c r="BE164" s="526"/>
      <c r="BF164" s="493"/>
      <c r="BG164" s="493"/>
      <c r="BH164" s="494"/>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V164" s="368" t="str">
        <f t="shared" si="70"/>
        <v>Rhabarber ab Ertragsbeginn</v>
      </c>
      <c r="CW164" s="505">
        <f t="shared" si="71"/>
        <v>151</v>
      </c>
    </row>
    <row r="165" spans="1:101" ht="18" customHeight="1" x14ac:dyDescent="0.2">
      <c r="A165" s="368"/>
      <c r="B165" s="368"/>
      <c r="C165" s="368"/>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c r="AO165" s="368"/>
      <c r="AP165" s="368"/>
      <c r="AQ165" s="368"/>
      <c r="AR165" s="368"/>
      <c r="AS165" s="368"/>
      <c r="AT165" s="368"/>
      <c r="AU165" s="368"/>
      <c r="AV165" s="368"/>
      <c r="AW165" s="737">
        <f t="shared" si="69"/>
        <v>153</v>
      </c>
      <c r="AX165" s="496" t="s">
        <v>521</v>
      </c>
      <c r="AY165" s="522"/>
      <c r="AZ165" s="497">
        <v>27</v>
      </c>
      <c r="BA165" s="497"/>
      <c r="BB165" s="523">
        <v>28</v>
      </c>
      <c r="BC165" s="524">
        <v>11.5</v>
      </c>
      <c r="BD165" s="525">
        <v>5.0599999999999996</v>
      </c>
      <c r="BE165" s="526"/>
      <c r="BF165" s="493"/>
      <c r="BG165" s="493"/>
      <c r="BH165" s="494"/>
      <c r="BI165" s="368"/>
      <c r="BJ165" s="368"/>
      <c r="BK165" s="368"/>
      <c r="BL165" s="368"/>
      <c r="BM165" s="368"/>
      <c r="BN165" s="368"/>
      <c r="BO165" s="368"/>
      <c r="BP165" s="368"/>
      <c r="BQ165" s="368"/>
      <c r="BR165" s="368"/>
      <c r="BS165" s="368"/>
      <c r="BT165" s="368"/>
      <c r="BU165" s="368"/>
      <c r="BV165" s="368"/>
      <c r="BW165" s="368"/>
      <c r="BX165" s="368"/>
      <c r="BY165" s="368"/>
      <c r="BZ165" s="368"/>
      <c r="CA165" s="368"/>
      <c r="CB165" s="368"/>
      <c r="CC165" s="368"/>
      <c r="CD165" s="368"/>
      <c r="CE165" s="368"/>
      <c r="CF165" s="368"/>
      <c r="CG165" s="368"/>
      <c r="CH165" s="368"/>
      <c r="CI165" s="368"/>
      <c r="CJ165" s="368"/>
      <c r="CV165" s="368" t="str">
        <f t="shared" si="70"/>
        <v>Rosenkohl</v>
      </c>
      <c r="CW165" s="505">
        <f t="shared" si="71"/>
        <v>152</v>
      </c>
    </row>
    <row r="166" spans="1:101" ht="18" customHeight="1" x14ac:dyDescent="0.2">
      <c r="A166" s="368"/>
      <c r="B166" s="368"/>
      <c r="C166" s="368"/>
      <c r="D166" s="368"/>
      <c r="E166" s="368"/>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c r="AO166" s="368"/>
      <c r="AP166" s="368"/>
      <c r="AQ166" s="368"/>
      <c r="AR166" s="368"/>
      <c r="AS166" s="368"/>
      <c r="AT166" s="368"/>
      <c r="AU166" s="368"/>
      <c r="AV166" s="368"/>
      <c r="AW166" s="737">
        <f t="shared" ref="AW166:AW197" si="72">AW165+1</f>
        <v>154</v>
      </c>
      <c r="AX166" s="496" t="s">
        <v>522</v>
      </c>
      <c r="AY166" s="522"/>
      <c r="AZ166" s="497">
        <v>25.6</v>
      </c>
      <c r="BA166" s="497"/>
      <c r="BB166" s="523">
        <v>22</v>
      </c>
      <c r="BC166" s="524">
        <v>8</v>
      </c>
      <c r="BD166" s="525">
        <v>3.52</v>
      </c>
      <c r="BE166" s="526"/>
      <c r="BF166" s="493"/>
      <c r="BG166" s="493"/>
      <c r="BH166" s="494"/>
      <c r="BI166" s="368"/>
      <c r="BJ166" s="368"/>
      <c r="BK166" s="368"/>
      <c r="BL166" s="368"/>
      <c r="BM166" s="368"/>
      <c r="BN166" s="368"/>
      <c r="BO166" s="368"/>
      <c r="BP166" s="368"/>
      <c r="BQ166" s="368"/>
      <c r="BR166" s="368"/>
      <c r="BS166" s="368"/>
      <c r="BT166" s="368"/>
      <c r="BU166" s="368"/>
      <c r="BV166" s="368"/>
      <c r="BW166" s="368"/>
      <c r="BX166" s="368"/>
      <c r="BY166" s="368"/>
      <c r="BZ166" s="368"/>
      <c r="CA166" s="368"/>
      <c r="CB166" s="368"/>
      <c r="CC166" s="368"/>
      <c r="CD166" s="368"/>
      <c r="CE166" s="368"/>
      <c r="CF166" s="368"/>
      <c r="CG166" s="368"/>
      <c r="CH166" s="368"/>
      <c r="CI166" s="368"/>
      <c r="CJ166" s="368"/>
      <c r="CV166" s="368" t="str">
        <f t="shared" ref="CV166:CV197" si="73">AX165</f>
        <v>Rote Rüben</v>
      </c>
      <c r="CW166" s="505">
        <f t="shared" ref="CW166:CW197" si="74">AW165</f>
        <v>153</v>
      </c>
    </row>
    <row r="167" spans="1:101" ht="18" customHeight="1" x14ac:dyDescent="0.2">
      <c r="A167" s="368"/>
      <c r="B167" s="368"/>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c r="AO167" s="368"/>
      <c r="AP167" s="368"/>
      <c r="AQ167" s="368"/>
      <c r="AR167" s="368"/>
      <c r="AS167" s="368"/>
      <c r="AT167" s="368"/>
      <c r="AU167" s="368"/>
      <c r="AV167" s="368"/>
      <c r="AW167" s="737">
        <f t="shared" si="72"/>
        <v>155</v>
      </c>
      <c r="AX167" s="496" t="s">
        <v>523</v>
      </c>
      <c r="AY167" s="522"/>
      <c r="AZ167" s="497">
        <v>36.700000000000003</v>
      </c>
      <c r="BA167" s="497"/>
      <c r="BB167" s="523">
        <v>40</v>
      </c>
      <c r="BC167" s="524">
        <v>10.3</v>
      </c>
      <c r="BD167" s="525">
        <v>4.53</v>
      </c>
      <c r="BE167" s="526"/>
      <c r="BF167" s="493"/>
      <c r="BG167" s="493"/>
      <c r="BH167" s="494"/>
      <c r="BI167" s="368"/>
      <c r="BJ167" s="368"/>
      <c r="BK167" s="368"/>
      <c r="BL167" s="368"/>
      <c r="BM167" s="368"/>
      <c r="BN167" s="368"/>
      <c r="BO167" s="368"/>
      <c r="BP167" s="368"/>
      <c r="BQ167" s="368"/>
      <c r="BR167" s="368"/>
      <c r="BS167" s="368"/>
      <c r="BT167" s="368"/>
      <c r="BU167" s="368"/>
      <c r="BV167" s="368"/>
      <c r="BW167" s="368"/>
      <c r="BX167" s="368"/>
      <c r="BY167" s="368"/>
      <c r="BZ167" s="368"/>
      <c r="CA167" s="368"/>
      <c r="CB167" s="368"/>
      <c r="CC167" s="368"/>
      <c r="CD167" s="368"/>
      <c r="CE167" s="368"/>
      <c r="CF167" s="368"/>
      <c r="CG167" s="368"/>
      <c r="CH167" s="368"/>
      <c r="CI167" s="368"/>
      <c r="CJ167" s="368"/>
      <c r="CV167" s="368" t="str">
        <f t="shared" si="73"/>
        <v>Rotkohl</v>
      </c>
      <c r="CW167" s="505">
        <f t="shared" si="74"/>
        <v>154</v>
      </c>
    </row>
    <row r="168" spans="1:101" ht="18" customHeight="1" x14ac:dyDescent="0.2">
      <c r="A168" s="368"/>
      <c r="B168" s="368"/>
      <c r="C168" s="368"/>
      <c r="D168" s="368"/>
      <c r="E168" s="368"/>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c r="AO168" s="368"/>
      <c r="AP168" s="368"/>
      <c r="AQ168" s="368"/>
      <c r="AR168" s="368"/>
      <c r="AS168" s="368"/>
      <c r="AT168" s="368"/>
      <c r="AU168" s="368"/>
      <c r="AV168" s="368"/>
      <c r="AW168" s="737">
        <f t="shared" si="72"/>
        <v>156</v>
      </c>
      <c r="AX168" s="496" t="s">
        <v>524</v>
      </c>
      <c r="AY168" s="522"/>
      <c r="AZ168" s="497">
        <v>36.700000000000003</v>
      </c>
      <c r="BA168" s="497"/>
      <c r="BB168" s="523">
        <v>40</v>
      </c>
      <c r="BC168" s="524">
        <v>10.3</v>
      </c>
      <c r="BD168" s="525">
        <v>4.53</v>
      </c>
      <c r="BE168" s="526"/>
      <c r="BF168" s="493"/>
      <c r="BG168" s="493"/>
      <c r="BH168" s="494"/>
      <c r="BI168" s="368"/>
      <c r="BJ168" s="368"/>
      <c r="BK168" s="368"/>
      <c r="BL168" s="368"/>
      <c r="BM168" s="368"/>
      <c r="BN168" s="368"/>
      <c r="BO168" s="368"/>
      <c r="BP168" s="368"/>
      <c r="BQ168" s="368"/>
      <c r="BR168" s="368"/>
      <c r="BS168" s="368"/>
      <c r="BT168" s="368"/>
      <c r="BU168" s="368"/>
      <c r="BV168" s="368"/>
      <c r="BW168" s="368"/>
      <c r="BX168" s="368"/>
      <c r="BY168" s="368"/>
      <c r="BZ168" s="368"/>
      <c r="CA168" s="368"/>
      <c r="CB168" s="368"/>
      <c r="CC168" s="368"/>
      <c r="CD168" s="368"/>
      <c r="CE168" s="368"/>
      <c r="CF168" s="368"/>
      <c r="CG168" s="368"/>
      <c r="CH168" s="368"/>
      <c r="CI168" s="368"/>
      <c r="CJ168" s="368"/>
      <c r="CV168" s="368" t="str">
        <f t="shared" si="73"/>
        <v>Rucola, Feinware</v>
      </c>
      <c r="CW168" s="505">
        <f t="shared" si="74"/>
        <v>155</v>
      </c>
    </row>
    <row r="169" spans="1:101" ht="18" customHeight="1" x14ac:dyDescent="0.2">
      <c r="A169" s="368"/>
      <c r="B169" s="368"/>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c r="AO169" s="368"/>
      <c r="AP169" s="368"/>
      <c r="AQ169" s="368"/>
      <c r="AR169" s="368"/>
      <c r="AS169" s="368"/>
      <c r="AT169" s="368"/>
      <c r="AU169" s="368"/>
      <c r="AV169" s="368"/>
      <c r="AW169" s="737">
        <f t="shared" si="72"/>
        <v>157</v>
      </c>
      <c r="AX169" s="496" t="s">
        <v>525</v>
      </c>
      <c r="AY169" s="522"/>
      <c r="AZ169" s="497">
        <v>35</v>
      </c>
      <c r="BA169" s="497"/>
      <c r="BB169" s="523">
        <v>35</v>
      </c>
      <c r="BC169" s="524">
        <v>8</v>
      </c>
      <c r="BD169" s="525">
        <v>3.52</v>
      </c>
      <c r="BE169" s="526"/>
      <c r="BF169" s="493"/>
      <c r="BG169" s="493"/>
      <c r="BH169" s="494"/>
      <c r="BI169" s="368"/>
      <c r="BJ169" s="368"/>
      <c r="BK169" s="368"/>
      <c r="BL169" s="368"/>
      <c r="BM169" s="368"/>
      <c r="BN169" s="368"/>
      <c r="BO169" s="368"/>
      <c r="BP169" s="368"/>
      <c r="BQ169" s="368"/>
      <c r="BR169" s="368"/>
      <c r="BS169" s="368"/>
      <c r="BT169" s="368"/>
      <c r="BU169" s="368"/>
      <c r="BV169" s="368"/>
      <c r="BW169" s="368"/>
      <c r="BX169" s="368"/>
      <c r="BY169" s="368"/>
      <c r="BZ169" s="368"/>
      <c r="CA169" s="368"/>
      <c r="CB169" s="368"/>
      <c r="CC169" s="368"/>
      <c r="CD169" s="368"/>
      <c r="CE169" s="368"/>
      <c r="CF169" s="368"/>
      <c r="CG169" s="368"/>
      <c r="CH169" s="368"/>
      <c r="CI169" s="368"/>
      <c r="CJ169" s="368"/>
      <c r="CV169" s="368" t="str">
        <f t="shared" si="73"/>
        <v>Rucola, Grobware</v>
      </c>
      <c r="CW169" s="505">
        <f t="shared" si="74"/>
        <v>156</v>
      </c>
    </row>
    <row r="170" spans="1:101" ht="18" customHeight="1" x14ac:dyDescent="0.2">
      <c r="A170" s="368"/>
      <c r="B170" s="368"/>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737">
        <f t="shared" si="72"/>
        <v>158</v>
      </c>
      <c r="AX170" s="496" t="s">
        <v>526</v>
      </c>
      <c r="AY170" s="522"/>
      <c r="AZ170" s="497">
        <v>19</v>
      </c>
      <c r="BA170" s="497"/>
      <c r="BB170" s="523">
        <v>19</v>
      </c>
      <c r="BC170" s="524">
        <v>6.9</v>
      </c>
      <c r="BD170" s="525">
        <v>3.04</v>
      </c>
      <c r="BE170" s="526"/>
      <c r="BF170" s="493"/>
      <c r="BG170" s="493"/>
      <c r="BH170" s="494"/>
      <c r="BI170" s="368"/>
      <c r="BJ170" s="368"/>
      <c r="BK170" s="368"/>
      <c r="BL170" s="368"/>
      <c r="BM170" s="368"/>
      <c r="BN170" s="368"/>
      <c r="BO170" s="368"/>
      <c r="BP170" s="368"/>
      <c r="BQ170" s="368"/>
      <c r="BR170" s="368"/>
      <c r="BS170" s="368"/>
      <c r="BT170" s="368"/>
      <c r="BU170" s="368"/>
      <c r="BV170" s="368"/>
      <c r="BW170" s="368"/>
      <c r="BX170" s="368"/>
      <c r="BY170" s="368"/>
      <c r="BZ170" s="368"/>
      <c r="CA170" s="368"/>
      <c r="CB170" s="368"/>
      <c r="CC170" s="368"/>
      <c r="CD170" s="368"/>
      <c r="CE170" s="368"/>
      <c r="CF170" s="368"/>
      <c r="CG170" s="368"/>
      <c r="CH170" s="368"/>
      <c r="CI170" s="368"/>
      <c r="CJ170" s="368"/>
      <c r="CV170" s="368" t="str">
        <f t="shared" si="73"/>
        <v>Salate, Baby Leaf Lettuce</v>
      </c>
      <c r="CW170" s="505">
        <f t="shared" si="74"/>
        <v>157</v>
      </c>
    </row>
    <row r="171" spans="1:101" ht="18" customHeight="1" x14ac:dyDescent="0.2">
      <c r="A171" s="368"/>
      <c r="B171" s="368"/>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c r="AO171" s="368"/>
      <c r="AP171" s="368"/>
      <c r="AQ171" s="368"/>
      <c r="AR171" s="368"/>
      <c r="AS171" s="368"/>
      <c r="AT171" s="368"/>
      <c r="AU171" s="368"/>
      <c r="AV171" s="368"/>
      <c r="AW171" s="737">
        <f t="shared" si="72"/>
        <v>159</v>
      </c>
      <c r="AX171" s="496" t="s">
        <v>527</v>
      </c>
      <c r="AY171" s="522"/>
      <c r="AZ171" s="497">
        <v>19</v>
      </c>
      <c r="BA171" s="497"/>
      <c r="BB171" s="523">
        <v>19</v>
      </c>
      <c r="BC171" s="524">
        <v>6.9</v>
      </c>
      <c r="BD171" s="525">
        <v>3.04</v>
      </c>
      <c r="BE171" s="526"/>
      <c r="BF171" s="493"/>
      <c r="BG171" s="493"/>
      <c r="BH171" s="494"/>
      <c r="BI171" s="368"/>
      <c r="BJ171" s="368"/>
      <c r="BK171" s="368"/>
      <c r="BL171" s="368"/>
      <c r="BM171" s="368"/>
      <c r="BN171" s="368"/>
      <c r="BO171" s="368"/>
      <c r="BP171" s="368"/>
      <c r="BQ171" s="368"/>
      <c r="BR171" s="368"/>
      <c r="BS171" s="368"/>
      <c r="BT171" s="368"/>
      <c r="BU171" s="368"/>
      <c r="BV171" s="368"/>
      <c r="BW171" s="368"/>
      <c r="BX171" s="368"/>
      <c r="BY171" s="368"/>
      <c r="BZ171" s="368"/>
      <c r="CA171" s="368"/>
      <c r="CB171" s="368"/>
      <c r="CC171" s="368"/>
      <c r="CD171" s="368"/>
      <c r="CE171" s="368"/>
      <c r="CF171" s="368"/>
      <c r="CG171" s="368"/>
      <c r="CH171" s="368"/>
      <c r="CI171" s="368"/>
      <c r="CJ171" s="368"/>
      <c r="CV171" s="368" t="str">
        <f t="shared" si="73"/>
        <v>Salate, Blatt-, grün (Lollo, Eichblatt, Krul)</v>
      </c>
      <c r="CW171" s="505">
        <f t="shared" si="74"/>
        <v>158</v>
      </c>
    </row>
    <row r="172" spans="1:101" ht="18" customHeight="1" x14ac:dyDescent="0.2">
      <c r="A172" s="368"/>
      <c r="B172" s="368"/>
      <c r="C172" s="368"/>
      <c r="D172" s="368"/>
      <c r="E172" s="368"/>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c r="AO172" s="368"/>
      <c r="AP172" s="368"/>
      <c r="AQ172" s="368"/>
      <c r="AR172" s="368"/>
      <c r="AS172" s="368"/>
      <c r="AT172" s="368"/>
      <c r="AU172" s="368"/>
      <c r="AV172" s="368"/>
      <c r="AW172" s="737">
        <f t="shared" si="72"/>
        <v>160</v>
      </c>
      <c r="AX172" s="496" t="s">
        <v>528</v>
      </c>
      <c r="AY172" s="522"/>
      <c r="AZ172" s="497">
        <v>15.5</v>
      </c>
      <c r="BA172" s="497"/>
      <c r="BB172" s="523">
        <v>14</v>
      </c>
      <c r="BC172" s="524">
        <v>5.7</v>
      </c>
      <c r="BD172" s="525">
        <v>2.5099999999999998</v>
      </c>
      <c r="BE172" s="526"/>
      <c r="BF172" s="493"/>
      <c r="BG172" s="493"/>
      <c r="BH172" s="494"/>
      <c r="BI172" s="368"/>
      <c r="BJ172" s="368"/>
      <c r="BK172" s="368"/>
      <c r="BL172" s="368"/>
      <c r="BM172" s="368"/>
      <c r="BN172" s="368"/>
      <c r="BO172" s="368"/>
      <c r="BP172" s="368"/>
      <c r="BQ172" s="368"/>
      <c r="BR172" s="368"/>
      <c r="BS172" s="368"/>
      <c r="BT172" s="368"/>
      <c r="BU172" s="368"/>
      <c r="BV172" s="368"/>
      <c r="BW172" s="368"/>
      <c r="BX172" s="368"/>
      <c r="BY172" s="368"/>
      <c r="BZ172" s="368"/>
      <c r="CA172" s="368"/>
      <c r="CB172" s="368"/>
      <c r="CC172" s="368"/>
      <c r="CD172" s="368"/>
      <c r="CE172" s="368"/>
      <c r="CF172" s="368"/>
      <c r="CG172" s="368"/>
      <c r="CH172" s="368"/>
      <c r="CI172" s="368"/>
      <c r="CJ172" s="368"/>
      <c r="CV172" s="368" t="str">
        <f t="shared" si="73"/>
        <v>Salate, Blatt-, rot (Lollo, Eichblatt, Krul)</v>
      </c>
      <c r="CW172" s="505">
        <f t="shared" si="74"/>
        <v>159</v>
      </c>
    </row>
    <row r="173" spans="1:101" ht="18" customHeight="1" x14ac:dyDescent="0.2">
      <c r="A173" s="368"/>
      <c r="B173" s="368"/>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c r="AO173" s="368"/>
      <c r="AP173" s="368"/>
      <c r="AQ173" s="368"/>
      <c r="AR173" s="368"/>
      <c r="AS173" s="368"/>
      <c r="AT173" s="368"/>
      <c r="AU173" s="368"/>
      <c r="AV173" s="368"/>
      <c r="AW173" s="737">
        <f t="shared" si="72"/>
        <v>161</v>
      </c>
      <c r="AX173" s="496" t="s">
        <v>529</v>
      </c>
      <c r="AY173" s="522"/>
      <c r="AZ173" s="497">
        <v>25</v>
      </c>
      <c r="BA173" s="497"/>
      <c r="BB173" s="523">
        <v>25</v>
      </c>
      <c r="BC173" s="524">
        <v>6</v>
      </c>
      <c r="BD173" s="525">
        <v>2.64</v>
      </c>
      <c r="BE173" s="526"/>
      <c r="BF173" s="493"/>
      <c r="BG173" s="493"/>
      <c r="BH173" s="494"/>
      <c r="BI173" s="368"/>
      <c r="BJ173" s="368"/>
      <c r="BK173" s="368"/>
      <c r="BL173" s="368"/>
      <c r="BM173" s="368"/>
      <c r="BN173" s="368"/>
      <c r="BO173" s="368"/>
      <c r="BP173" s="368"/>
      <c r="BQ173" s="368"/>
      <c r="BR173" s="368"/>
      <c r="BS173" s="368"/>
      <c r="BT173" s="368"/>
      <c r="BU173" s="368"/>
      <c r="BV173" s="368"/>
      <c r="BW173" s="368"/>
      <c r="BX173" s="368"/>
      <c r="BY173" s="368"/>
      <c r="BZ173" s="368"/>
      <c r="CA173" s="368"/>
      <c r="CB173" s="368"/>
      <c r="CC173" s="368"/>
      <c r="CD173" s="368"/>
      <c r="CE173" s="368"/>
      <c r="CF173" s="368"/>
      <c r="CG173" s="368"/>
      <c r="CH173" s="368"/>
      <c r="CI173" s="368"/>
      <c r="CJ173" s="368"/>
      <c r="CV173" s="368" t="str">
        <f t="shared" si="73"/>
        <v>Salate, Eissalat</v>
      </c>
      <c r="CW173" s="505">
        <f t="shared" si="74"/>
        <v>160</v>
      </c>
    </row>
    <row r="174" spans="1:101" ht="18" customHeight="1" x14ac:dyDescent="0.2">
      <c r="A174" s="368"/>
      <c r="B174" s="368"/>
      <c r="C174" s="368"/>
      <c r="D174" s="368"/>
      <c r="E174" s="368"/>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c r="AO174" s="368"/>
      <c r="AP174" s="368"/>
      <c r="AQ174" s="368"/>
      <c r="AR174" s="368"/>
      <c r="AS174" s="368"/>
      <c r="AT174" s="368"/>
      <c r="AU174" s="368"/>
      <c r="AV174" s="368"/>
      <c r="AW174" s="737">
        <f t="shared" si="72"/>
        <v>162</v>
      </c>
      <c r="AX174" s="496" t="s">
        <v>530</v>
      </c>
      <c r="AY174" s="522"/>
      <c r="AZ174" s="497">
        <v>20</v>
      </c>
      <c r="BA174" s="497"/>
      <c r="BB174" s="523">
        <v>20</v>
      </c>
      <c r="BC174" s="524">
        <v>6</v>
      </c>
      <c r="BD174" s="525">
        <v>2.64</v>
      </c>
      <c r="BE174" s="526"/>
      <c r="BF174" s="493"/>
      <c r="BG174" s="493"/>
      <c r="BH174" s="494"/>
      <c r="BI174" s="368"/>
      <c r="BJ174" s="368"/>
      <c r="BK174" s="368"/>
      <c r="BL174" s="368"/>
      <c r="BM174" s="368"/>
      <c r="BN174" s="368"/>
      <c r="BO174" s="368"/>
      <c r="BP174" s="368"/>
      <c r="BQ174" s="368"/>
      <c r="BR174" s="368"/>
      <c r="BS174" s="368"/>
      <c r="BT174" s="368"/>
      <c r="BU174" s="368"/>
      <c r="BV174" s="368"/>
      <c r="BW174" s="368"/>
      <c r="BX174" s="368"/>
      <c r="BY174" s="368"/>
      <c r="BZ174" s="368"/>
      <c r="CA174" s="368"/>
      <c r="CB174" s="368"/>
      <c r="CC174" s="368"/>
      <c r="CD174" s="368"/>
      <c r="CE174" s="368"/>
      <c r="CF174" s="368"/>
      <c r="CG174" s="368"/>
      <c r="CH174" s="368"/>
      <c r="CI174" s="368"/>
      <c r="CJ174" s="368"/>
      <c r="CV174" s="368" t="str">
        <f t="shared" si="73"/>
        <v>Salate, Endivien, Frisee</v>
      </c>
      <c r="CW174" s="505">
        <f t="shared" si="74"/>
        <v>161</v>
      </c>
    </row>
    <row r="175" spans="1:101" ht="18" customHeight="1" x14ac:dyDescent="0.2">
      <c r="A175" s="368"/>
      <c r="B175" s="368"/>
      <c r="C175" s="368"/>
      <c r="D175" s="368"/>
      <c r="E175" s="368"/>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c r="AO175" s="368"/>
      <c r="AP175" s="368"/>
      <c r="AQ175" s="368"/>
      <c r="AR175" s="368"/>
      <c r="AS175" s="368"/>
      <c r="AT175" s="368"/>
      <c r="AU175" s="368"/>
      <c r="AV175" s="368"/>
      <c r="AW175" s="737">
        <f t="shared" si="72"/>
        <v>163</v>
      </c>
      <c r="AX175" s="496" t="s">
        <v>531</v>
      </c>
      <c r="AY175" s="522"/>
      <c r="AZ175" s="497">
        <v>18</v>
      </c>
      <c r="BA175" s="497"/>
      <c r="BB175" s="523">
        <v>18</v>
      </c>
      <c r="BC175" s="524">
        <v>6.9</v>
      </c>
      <c r="BD175" s="525">
        <v>3.04</v>
      </c>
      <c r="BE175" s="526"/>
      <c r="BF175" s="493"/>
      <c r="BG175" s="493"/>
      <c r="BH175" s="494"/>
      <c r="BI175" s="368"/>
      <c r="BJ175" s="368"/>
      <c r="BK175" s="368"/>
      <c r="BL175" s="368"/>
      <c r="BM175" s="368"/>
      <c r="BN175" s="368"/>
      <c r="BO175" s="368"/>
      <c r="BP175" s="368"/>
      <c r="BQ175" s="368"/>
      <c r="BR175" s="368"/>
      <c r="BS175" s="368"/>
      <c r="BT175" s="368"/>
      <c r="BU175" s="368"/>
      <c r="BV175" s="368"/>
      <c r="BW175" s="368"/>
      <c r="BX175" s="368"/>
      <c r="BY175" s="368"/>
      <c r="BZ175" s="368"/>
      <c r="CA175" s="368"/>
      <c r="CB175" s="368"/>
      <c r="CC175" s="368"/>
      <c r="CD175" s="368"/>
      <c r="CE175" s="368"/>
      <c r="CF175" s="368"/>
      <c r="CG175" s="368"/>
      <c r="CH175" s="368"/>
      <c r="CI175" s="368"/>
      <c r="CJ175" s="368"/>
      <c r="CV175" s="368" t="str">
        <f t="shared" si="73"/>
        <v>Salate, Endivien, glattblättrig</v>
      </c>
      <c r="CW175" s="505">
        <f t="shared" si="74"/>
        <v>162</v>
      </c>
    </row>
    <row r="176" spans="1:101" ht="18" customHeight="1" x14ac:dyDescent="0.2">
      <c r="A176" s="368"/>
      <c r="B176" s="368"/>
      <c r="C176" s="368"/>
      <c r="D176" s="368"/>
      <c r="E176" s="368"/>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c r="AO176" s="368"/>
      <c r="AP176" s="368"/>
      <c r="AQ176" s="368"/>
      <c r="AR176" s="368"/>
      <c r="AS176" s="368"/>
      <c r="AT176" s="368"/>
      <c r="AU176" s="368"/>
      <c r="AV176" s="368"/>
      <c r="AW176" s="737">
        <f t="shared" si="72"/>
        <v>164</v>
      </c>
      <c r="AX176" s="496" t="s">
        <v>532</v>
      </c>
      <c r="AY176" s="522"/>
      <c r="AZ176" s="497">
        <v>25</v>
      </c>
      <c r="BA176" s="497"/>
      <c r="BB176" s="523">
        <v>25</v>
      </c>
      <c r="BC176" s="524">
        <v>9.1999999999999993</v>
      </c>
      <c r="BD176" s="525">
        <v>4.05</v>
      </c>
      <c r="BE176" s="526"/>
      <c r="BF176" s="493"/>
      <c r="BG176" s="493"/>
      <c r="BH176" s="494"/>
      <c r="BI176" s="368"/>
      <c r="BJ176" s="368"/>
      <c r="BK176" s="368"/>
      <c r="BL176" s="368"/>
      <c r="BM176" s="368"/>
      <c r="BN176" s="368"/>
      <c r="BO176" s="368"/>
      <c r="BP176" s="368"/>
      <c r="BQ176" s="368"/>
      <c r="BR176" s="368"/>
      <c r="BS176" s="368"/>
      <c r="BT176" s="368"/>
      <c r="BU176" s="368"/>
      <c r="BV176" s="368"/>
      <c r="BW176" s="368"/>
      <c r="BX176" s="368"/>
      <c r="BY176" s="368"/>
      <c r="BZ176" s="368"/>
      <c r="CA176" s="368"/>
      <c r="CB176" s="368"/>
      <c r="CC176" s="368"/>
      <c r="CD176" s="368"/>
      <c r="CE176" s="368"/>
      <c r="CF176" s="368"/>
      <c r="CG176" s="368"/>
      <c r="CH176" s="368"/>
      <c r="CI176" s="368"/>
      <c r="CJ176" s="368"/>
      <c r="CV176" s="368" t="str">
        <f t="shared" si="73"/>
        <v>Salate, Kopfsalat</v>
      </c>
      <c r="CW176" s="505">
        <f t="shared" si="74"/>
        <v>163</v>
      </c>
    </row>
    <row r="177" spans="49:101" s="368" customFormat="1" ht="18" customHeight="1" x14ac:dyDescent="0.2">
      <c r="AW177" s="737">
        <f t="shared" si="72"/>
        <v>165</v>
      </c>
      <c r="AX177" s="496" t="s">
        <v>533</v>
      </c>
      <c r="AY177" s="522"/>
      <c r="AZ177" s="497">
        <v>19</v>
      </c>
      <c r="BA177" s="497"/>
      <c r="BB177" s="523">
        <v>19</v>
      </c>
      <c r="BC177" s="524">
        <v>6.9</v>
      </c>
      <c r="BD177" s="525">
        <v>3.04</v>
      </c>
      <c r="BE177" s="526"/>
      <c r="BF177" s="493"/>
      <c r="BG177" s="493"/>
      <c r="BH177" s="494"/>
      <c r="CV177" s="368" t="str">
        <f t="shared" si="73"/>
        <v>Salate, Radicchio</v>
      </c>
      <c r="CW177" s="505">
        <f t="shared" si="74"/>
        <v>164</v>
      </c>
    </row>
    <row r="178" spans="49:101" s="368" customFormat="1" ht="18" customHeight="1" x14ac:dyDescent="0.2">
      <c r="AW178" s="737">
        <f t="shared" si="72"/>
        <v>166</v>
      </c>
      <c r="AX178" s="496" t="s">
        <v>534</v>
      </c>
      <c r="AY178" s="522"/>
      <c r="AZ178" s="497">
        <v>20</v>
      </c>
      <c r="BA178" s="497"/>
      <c r="BB178" s="523">
        <v>20</v>
      </c>
      <c r="BC178" s="524">
        <v>9.1999999999999993</v>
      </c>
      <c r="BD178" s="525">
        <v>4.05</v>
      </c>
      <c r="BE178" s="526"/>
      <c r="BF178" s="493"/>
      <c r="BG178" s="493"/>
      <c r="BH178" s="494"/>
      <c r="CV178" s="368" t="str">
        <f t="shared" si="73"/>
        <v>Salate, verschiedene Arten</v>
      </c>
      <c r="CW178" s="505">
        <f t="shared" si="74"/>
        <v>165</v>
      </c>
    </row>
    <row r="179" spans="49:101" s="368" customFormat="1" ht="18" customHeight="1" x14ac:dyDescent="0.2">
      <c r="AW179" s="737">
        <f t="shared" si="72"/>
        <v>167</v>
      </c>
      <c r="AX179" s="496" t="s">
        <v>535</v>
      </c>
      <c r="AY179" s="522"/>
      <c r="AZ179" s="497">
        <v>26.8</v>
      </c>
      <c r="BA179" s="497"/>
      <c r="BB179" s="523">
        <v>24</v>
      </c>
      <c r="BC179" s="524">
        <v>9.1999999999999993</v>
      </c>
      <c r="BD179" s="525">
        <v>4.05</v>
      </c>
      <c r="BE179" s="526"/>
      <c r="BF179" s="493"/>
      <c r="BG179" s="493"/>
      <c r="BH179" s="494"/>
      <c r="CV179" s="368" t="str">
        <f t="shared" si="73"/>
        <v>Salate, Romana</v>
      </c>
      <c r="CW179" s="505">
        <f t="shared" si="74"/>
        <v>166</v>
      </c>
    </row>
    <row r="180" spans="49:101" s="368" customFormat="1" ht="18" customHeight="1" x14ac:dyDescent="0.2">
      <c r="AW180" s="737">
        <f t="shared" si="72"/>
        <v>168</v>
      </c>
      <c r="AX180" s="496" t="s">
        <v>536</v>
      </c>
      <c r="AY180" s="522"/>
      <c r="AZ180" s="497">
        <v>20</v>
      </c>
      <c r="BA180" s="497"/>
      <c r="BB180" s="523">
        <v>20</v>
      </c>
      <c r="BC180" s="524">
        <v>11.5</v>
      </c>
      <c r="BD180" s="525">
        <v>5.0599999999999996</v>
      </c>
      <c r="BE180" s="526"/>
      <c r="BF180" s="493"/>
      <c r="BG180" s="493"/>
      <c r="BH180" s="494"/>
      <c r="CV180" s="368" t="str">
        <f t="shared" si="73"/>
        <v>Salate, Romana Herzen</v>
      </c>
      <c r="CW180" s="505">
        <f t="shared" si="74"/>
        <v>167</v>
      </c>
    </row>
    <row r="181" spans="49:101" s="368" customFormat="1" ht="18" customHeight="1" x14ac:dyDescent="0.2">
      <c r="AW181" s="737">
        <f t="shared" si="72"/>
        <v>169</v>
      </c>
      <c r="AX181" s="496" t="s">
        <v>537</v>
      </c>
      <c r="AY181" s="522"/>
      <c r="AZ181" s="497">
        <v>50</v>
      </c>
      <c r="BA181" s="497"/>
      <c r="BB181" s="523">
        <v>50</v>
      </c>
      <c r="BC181" s="524">
        <v>13.7</v>
      </c>
      <c r="BD181" s="525">
        <v>6.03</v>
      </c>
      <c r="BE181" s="526"/>
      <c r="BF181" s="493"/>
      <c r="BG181" s="493"/>
      <c r="BH181" s="494"/>
      <c r="CV181" s="368" t="str">
        <f t="shared" si="73"/>
        <v>Salate, Zuckerhut</v>
      </c>
      <c r="CW181" s="505">
        <f t="shared" si="74"/>
        <v>168</v>
      </c>
    </row>
    <row r="182" spans="49:101" s="368" customFormat="1" ht="18" customHeight="1" x14ac:dyDescent="0.2">
      <c r="AW182" s="737">
        <f t="shared" si="72"/>
        <v>170</v>
      </c>
      <c r="AX182" s="496" t="s">
        <v>538</v>
      </c>
      <c r="AY182" s="522"/>
      <c r="AZ182" s="497"/>
      <c r="BA182" s="497"/>
      <c r="BB182" s="523"/>
      <c r="BC182" s="524"/>
      <c r="BD182" s="525"/>
      <c r="BE182" s="526"/>
      <c r="BF182" s="493"/>
      <c r="BG182" s="493"/>
      <c r="BH182" s="494"/>
      <c r="CV182" s="368" t="str">
        <f t="shared" si="73"/>
        <v>Schnittlauch, gesät, bis</v>
      </c>
      <c r="CW182" s="505">
        <f t="shared" si="74"/>
        <v>169</v>
      </c>
    </row>
    <row r="183" spans="49:101" s="368" customFormat="1" ht="18" customHeight="1" x14ac:dyDescent="0.2">
      <c r="AW183" s="737">
        <f t="shared" si="72"/>
        <v>171</v>
      </c>
      <c r="AX183" s="496" t="s">
        <v>539</v>
      </c>
      <c r="AY183" s="522"/>
      <c r="AZ183" s="497">
        <v>50</v>
      </c>
      <c r="BA183" s="497"/>
      <c r="BB183" s="523">
        <v>50</v>
      </c>
      <c r="BC183" s="524">
        <v>13.7</v>
      </c>
      <c r="BD183" s="525">
        <v>6.03</v>
      </c>
      <c r="BE183" s="526"/>
      <c r="BF183" s="493"/>
      <c r="BG183" s="493"/>
      <c r="BH183" s="494"/>
      <c r="CV183" s="368" t="str">
        <f t="shared" si="73"/>
        <v>1. Schnitt</v>
      </c>
      <c r="CW183" s="505">
        <f t="shared" si="74"/>
        <v>170</v>
      </c>
    </row>
    <row r="184" spans="49:101" s="368" customFormat="1" ht="18" customHeight="1" x14ac:dyDescent="0.2">
      <c r="AW184" s="737">
        <f t="shared" si="72"/>
        <v>172</v>
      </c>
      <c r="AX184" s="496" t="s">
        <v>540</v>
      </c>
      <c r="AY184" s="522"/>
      <c r="AZ184" s="497">
        <v>50</v>
      </c>
      <c r="BA184" s="497"/>
      <c r="BB184" s="523">
        <v>50</v>
      </c>
      <c r="BC184" s="524">
        <v>13.7</v>
      </c>
      <c r="BD184" s="525">
        <v>6.03</v>
      </c>
      <c r="BE184" s="526"/>
      <c r="BF184" s="493"/>
      <c r="BG184" s="493"/>
      <c r="BH184" s="494"/>
      <c r="CV184" s="368" t="str">
        <f t="shared" si="73"/>
        <v>Schnittlauch, gesät, nach einem Schnitt</v>
      </c>
      <c r="CW184" s="505">
        <f t="shared" si="74"/>
        <v>171</v>
      </c>
    </row>
    <row r="185" spans="49:101" s="368" customFormat="1" ht="18" customHeight="1" x14ac:dyDescent="0.2">
      <c r="AW185" s="737">
        <f t="shared" si="72"/>
        <v>173</v>
      </c>
      <c r="AX185" s="496" t="s">
        <v>541</v>
      </c>
      <c r="AY185" s="522"/>
      <c r="AZ185" s="497">
        <v>23.8</v>
      </c>
      <c r="BA185" s="497"/>
      <c r="BB185" s="523">
        <v>23</v>
      </c>
      <c r="BC185" s="524">
        <v>16</v>
      </c>
      <c r="BD185" s="525">
        <v>7.04</v>
      </c>
      <c r="BE185" s="526"/>
      <c r="BF185" s="493"/>
      <c r="BG185" s="493"/>
      <c r="BH185" s="494"/>
      <c r="CV185" s="368" t="str">
        <f t="shared" si="73"/>
        <v>Schnittlauch, Anbau für Treiberei</v>
      </c>
      <c r="CW185" s="505">
        <f t="shared" si="74"/>
        <v>172</v>
      </c>
    </row>
    <row r="186" spans="49:101" s="368" customFormat="1" ht="18" customHeight="1" x14ac:dyDescent="0.2">
      <c r="AW186" s="737">
        <f t="shared" si="72"/>
        <v>174</v>
      </c>
      <c r="AX186" s="496" t="s">
        <v>542</v>
      </c>
      <c r="AY186" s="522"/>
      <c r="AZ186" s="497">
        <v>27</v>
      </c>
      <c r="BA186" s="497"/>
      <c r="BB186" s="523">
        <v>27</v>
      </c>
      <c r="BC186" s="524">
        <v>12.6</v>
      </c>
      <c r="BD186" s="525">
        <v>5.54</v>
      </c>
      <c r="BE186" s="526"/>
      <c r="BF186" s="493"/>
      <c r="BG186" s="493"/>
      <c r="BH186" s="494"/>
      <c r="CV186" s="368" t="str">
        <f t="shared" si="73"/>
        <v>Schwarzwurzel</v>
      </c>
      <c r="CW186" s="505">
        <f t="shared" si="74"/>
        <v>173</v>
      </c>
    </row>
    <row r="187" spans="49:101" s="368" customFormat="1" ht="18" customHeight="1" x14ac:dyDescent="0.2">
      <c r="AW187" s="737">
        <f t="shared" si="72"/>
        <v>175</v>
      </c>
      <c r="AX187" s="496" t="s">
        <v>543</v>
      </c>
      <c r="AY187" s="522"/>
      <c r="AZ187" s="497">
        <v>26.7</v>
      </c>
      <c r="BA187" s="497"/>
      <c r="BB187" s="523">
        <v>25</v>
      </c>
      <c r="BC187" s="524">
        <v>14.9</v>
      </c>
      <c r="BD187" s="525">
        <v>6.56</v>
      </c>
      <c r="BE187" s="526"/>
      <c r="BF187" s="493"/>
      <c r="BG187" s="493"/>
      <c r="BH187" s="494"/>
      <c r="CV187" s="368" t="str">
        <f t="shared" si="73"/>
        <v>Sellerie, Bund-</v>
      </c>
      <c r="CW187" s="505">
        <f t="shared" si="74"/>
        <v>174</v>
      </c>
    </row>
    <row r="188" spans="49:101" s="368" customFormat="1" ht="18" customHeight="1" x14ac:dyDescent="0.2">
      <c r="AW188" s="737">
        <f t="shared" si="72"/>
        <v>176</v>
      </c>
      <c r="AX188" s="496" t="s">
        <v>544</v>
      </c>
      <c r="AY188" s="522"/>
      <c r="AZ188" s="497">
        <v>25</v>
      </c>
      <c r="BA188" s="497"/>
      <c r="BB188" s="523">
        <v>25</v>
      </c>
      <c r="BC188" s="524">
        <v>11.5</v>
      </c>
      <c r="BD188" s="525">
        <v>5.0599999999999996</v>
      </c>
      <c r="BE188" s="526"/>
      <c r="BF188" s="493"/>
      <c r="BG188" s="493"/>
      <c r="BH188" s="494"/>
      <c r="CV188" s="368" t="str">
        <f t="shared" si="73"/>
        <v>Sellerie, Knollen-</v>
      </c>
      <c r="CW188" s="505">
        <f t="shared" si="74"/>
        <v>175</v>
      </c>
    </row>
    <row r="189" spans="49:101" s="368" customFormat="1" ht="18" customHeight="1" x14ac:dyDescent="0.2">
      <c r="AW189" s="737">
        <f t="shared" si="72"/>
        <v>177</v>
      </c>
      <c r="AX189" s="496" t="s">
        <v>545</v>
      </c>
      <c r="AY189" s="522"/>
      <c r="AZ189" s="497" t="s">
        <v>189</v>
      </c>
      <c r="BA189" s="497"/>
      <c r="BB189" s="523">
        <v>26</v>
      </c>
      <c r="BC189" s="524">
        <v>8.1999999999999993</v>
      </c>
      <c r="BD189" s="525">
        <v>3.61</v>
      </c>
      <c r="BE189" s="526"/>
      <c r="BF189" s="493"/>
      <c r="BG189" s="493"/>
      <c r="BH189" s="494"/>
      <c r="CV189" s="368" t="str">
        <f t="shared" si="73"/>
        <v>Sellerie, Stangen-</v>
      </c>
      <c r="CW189" s="505">
        <f t="shared" si="74"/>
        <v>176</v>
      </c>
    </row>
    <row r="190" spans="49:101" s="368" customFormat="1" ht="18" customHeight="1" x14ac:dyDescent="0.2">
      <c r="AW190" s="737">
        <f t="shared" si="72"/>
        <v>178</v>
      </c>
      <c r="AX190" s="496" t="s">
        <v>546</v>
      </c>
      <c r="AY190" s="522"/>
      <c r="AZ190" s="497">
        <v>45</v>
      </c>
      <c r="BA190" s="497"/>
      <c r="BB190" s="523">
        <v>45</v>
      </c>
      <c r="BC190" s="524">
        <v>11.5</v>
      </c>
      <c r="BD190" s="525">
        <v>5.0599999999999996</v>
      </c>
      <c r="BE190" s="526"/>
      <c r="BF190" s="493"/>
      <c r="BG190" s="493"/>
      <c r="BH190" s="494"/>
      <c r="CV190" s="368" t="str">
        <f t="shared" si="73"/>
        <v>Spargel ab Ertragsbeginn</v>
      </c>
      <c r="CW190" s="505">
        <f t="shared" si="74"/>
        <v>177</v>
      </c>
    </row>
    <row r="191" spans="49:101" s="368" customFormat="1" ht="18" customHeight="1" x14ac:dyDescent="0.2">
      <c r="AW191" s="737">
        <f t="shared" si="72"/>
        <v>179</v>
      </c>
      <c r="AX191" s="496" t="s">
        <v>547</v>
      </c>
      <c r="AY191" s="522"/>
      <c r="AZ191" s="497">
        <v>40</v>
      </c>
      <c r="BA191" s="497"/>
      <c r="BB191" s="523">
        <v>40</v>
      </c>
      <c r="BC191" s="524">
        <v>11.5</v>
      </c>
      <c r="BD191" s="525">
        <v>5.0599999999999996</v>
      </c>
      <c r="BE191" s="526"/>
      <c r="BF191" s="493"/>
      <c r="BG191" s="493"/>
      <c r="BH191" s="494"/>
      <c r="CV191" s="368" t="str">
        <f t="shared" si="73"/>
        <v>Spinat, Blatt-, FM, Baby</v>
      </c>
      <c r="CW191" s="505">
        <f t="shared" si="74"/>
        <v>178</v>
      </c>
    </row>
    <row r="192" spans="49:101" s="368" customFormat="1" ht="18" customHeight="1" x14ac:dyDescent="0.2">
      <c r="AW192" s="737">
        <f t="shared" si="72"/>
        <v>180</v>
      </c>
      <c r="AX192" s="496" t="s">
        <v>51</v>
      </c>
      <c r="AY192" s="522"/>
      <c r="AZ192" s="497">
        <v>36</v>
      </c>
      <c r="BA192" s="497"/>
      <c r="BB192" s="523">
        <v>36</v>
      </c>
      <c r="BC192" s="524">
        <v>11.5</v>
      </c>
      <c r="BD192" s="525">
        <v>5.0599999999999996</v>
      </c>
      <c r="BE192" s="526"/>
      <c r="BF192" s="493"/>
      <c r="BG192" s="493"/>
      <c r="BH192" s="494"/>
      <c r="CV192" s="368" t="str">
        <f t="shared" si="73"/>
        <v>Spinat, Blatt-, Standard</v>
      </c>
      <c r="CW192" s="505">
        <f t="shared" si="74"/>
        <v>179</v>
      </c>
    </row>
    <row r="193" spans="49:101" s="368" customFormat="1" ht="18" customHeight="1" x14ac:dyDescent="0.2">
      <c r="AW193" s="737">
        <f t="shared" si="72"/>
        <v>181</v>
      </c>
      <c r="AX193" s="496" t="s">
        <v>548</v>
      </c>
      <c r="AY193" s="522"/>
      <c r="AZ193" s="497">
        <v>29.5</v>
      </c>
      <c r="BA193" s="497"/>
      <c r="BB193" s="523">
        <v>25</v>
      </c>
      <c r="BC193" s="524">
        <v>9.1999999999999993</v>
      </c>
      <c r="BD193" s="525">
        <v>4.05</v>
      </c>
      <c r="BE193" s="526"/>
      <c r="BF193" s="493"/>
      <c r="BG193" s="493"/>
      <c r="BH193" s="494"/>
      <c r="CV193" s="368" t="str">
        <f t="shared" si="73"/>
        <v>Spinat, Hack, Standard</v>
      </c>
      <c r="CW193" s="505">
        <f t="shared" si="74"/>
        <v>180</v>
      </c>
    </row>
    <row r="194" spans="49:101" s="368" customFormat="1" ht="18" customHeight="1" x14ac:dyDescent="0.2">
      <c r="AW194" s="737">
        <f t="shared" si="72"/>
        <v>182</v>
      </c>
      <c r="AX194" s="496" t="s">
        <v>549</v>
      </c>
      <c r="AY194" s="522"/>
      <c r="AZ194" s="497">
        <v>32.5</v>
      </c>
      <c r="BA194" s="497"/>
      <c r="BB194" s="523">
        <v>45</v>
      </c>
      <c r="BC194" s="524">
        <v>24.1</v>
      </c>
      <c r="BD194" s="525">
        <v>10.6</v>
      </c>
      <c r="BE194" s="526"/>
      <c r="BF194" s="493"/>
      <c r="BG194" s="493"/>
      <c r="BH194" s="494"/>
      <c r="CV194" s="368" t="str">
        <f t="shared" si="73"/>
        <v>Stangenbohne, Standard</v>
      </c>
      <c r="CW194" s="505">
        <f t="shared" si="74"/>
        <v>181</v>
      </c>
    </row>
    <row r="195" spans="49:101" s="368" customFormat="1" ht="18" customHeight="1" x14ac:dyDescent="0.2">
      <c r="AW195" s="737">
        <f t="shared" si="72"/>
        <v>183</v>
      </c>
      <c r="AX195" s="496" t="s">
        <v>550</v>
      </c>
      <c r="AY195" s="496"/>
      <c r="AZ195" s="497">
        <v>24.2</v>
      </c>
      <c r="BA195" s="497"/>
      <c r="BB195" s="579">
        <v>20</v>
      </c>
      <c r="BC195" s="524">
        <v>7.3</v>
      </c>
      <c r="BD195" s="525">
        <v>3.21</v>
      </c>
      <c r="BE195" s="526"/>
      <c r="BF195" s="493"/>
      <c r="BG195" s="493"/>
      <c r="BH195" s="494"/>
      <c r="CV195" s="368" t="str">
        <f t="shared" si="73"/>
        <v>Teltower Rübchen (Herbst- anbau)</v>
      </c>
      <c r="CW195" s="505">
        <f t="shared" si="74"/>
        <v>182</v>
      </c>
    </row>
    <row r="196" spans="49:101" s="368" customFormat="1" ht="18" customHeight="1" x14ac:dyDescent="0.2">
      <c r="AW196" s="737">
        <f t="shared" si="72"/>
        <v>184</v>
      </c>
      <c r="AX196" s="496" t="s">
        <v>551</v>
      </c>
      <c r="AY196" s="522"/>
      <c r="AZ196" s="497">
        <v>23.3</v>
      </c>
      <c r="BA196" s="497"/>
      <c r="BB196" s="523">
        <v>20</v>
      </c>
      <c r="BC196" s="524">
        <v>7.3</v>
      </c>
      <c r="BD196" s="525">
        <v>3.21</v>
      </c>
      <c r="BE196" s="526"/>
      <c r="BF196" s="493"/>
      <c r="BG196" s="493"/>
      <c r="BH196" s="494"/>
      <c r="CV196" s="368" t="str">
        <f t="shared" si="73"/>
        <v>Weißkohl, Frischmarkt</v>
      </c>
      <c r="CW196" s="505">
        <f t="shared" si="74"/>
        <v>183</v>
      </c>
    </row>
    <row r="197" spans="49:101" s="368" customFormat="1" ht="18" customHeight="1" x14ac:dyDescent="0.2">
      <c r="AW197" s="737">
        <f t="shared" si="72"/>
        <v>185</v>
      </c>
      <c r="AX197" s="496" t="s">
        <v>552</v>
      </c>
      <c r="AY197" s="522"/>
      <c r="AZ197" s="497">
        <v>37.5</v>
      </c>
      <c r="BA197" s="497"/>
      <c r="BB197" s="523">
        <v>35</v>
      </c>
      <c r="BC197" s="524">
        <v>11.5</v>
      </c>
      <c r="BD197" s="525">
        <v>5.0599999999999996</v>
      </c>
      <c r="BE197" s="526"/>
      <c r="BF197" s="493"/>
      <c r="BG197" s="493"/>
      <c r="BH197" s="494"/>
      <c r="CV197" s="368" t="str">
        <f t="shared" si="73"/>
        <v>Weißkohl, Industrie</v>
      </c>
      <c r="CW197" s="505">
        <f t="shared" si="74"/>
        <v>184</v>
      </c>
    </row>
    <row r="198" spans="49:101" s="368" customFormat="1" ht="18" customHeight="1" x14ac:dyDescent="0.2">
      <c r="AW198" s="737">
        <f t="shared" ref="AW198:AW215" si="75">AW197+1</f>
        <v>186</v>
      </c>
      <c r="AX198" s="496" t="s">
        <v>553</v>
      </c>
      <c r="AY198" s="522"/>
      <c r="AZ198" s="497">
        <v>23</v>
      </c>
      <c r="BA198" s="497"/>
      <c r="BB198" s="523">
        <v>16</v>
      </c>
      <c r="BC198" s="524">
        <v>6</v>
      </c>
      <c r="BD198" s="525">
        <v>2.64</v>
      </c>
      <c r="BE198" s="526"/>
      <c r="BF198" s="493"/>
      <c r="BG198" s="493"/>
      <c r="BH198" s="494"/>
      <c r="CV198" s="368" t="str">
        <f t="shared" ref="CV198:CV226" si="76">AX197</f>
        <v>Wirsing</v>
      </c>
      <c r="CW198" s="505">
        <f t="shared" ref="CW198:CW226" si="77">AW197</f>
        <v>185</v>
      </c>
    </row>
    <row r="199" spans="49:101" s="368" customFormat="1" ht="18" customHeight="1" x14ac:dyDescent="0.2">
      <c r="AW199" s="737">
        <f t="shared" si="75"/>
        <v>187</v>
      </c>
      <c r="AX199" s="496" t="s">
        <v>554</v>
      </c>
      <c r="AY199" s="522"/>
      <c r="AZ199" s="497">
        <v>31.7</v>
      </c>
      <c r="BA199" s="497"/>
      <c r="BB199" s="523">
        <v>35</v>
      </c>
      <c r="BC199" s="524">
        <v>16</v>
      </c>
      <c r="BD199" s="525">
        <v>7.04</v>
      </c>
      <c r="BE199" s="526"/>
      <c r="BF199" s="493"/>
      <c r="BG199" s="493"/>
      <c r="BH199" s="494"/>
      <c r="CV199" s="368" t="str">
        <f t="shared" si="76"/>
        <v>Zucchini</v>
      </c>
      <c r="CW199" s="505">
        <f t="shared" si="77"/>
        <v>186</v>
      </c>
    </row>
    <row r="200" spans="49:101" s="368" customFormat="1" ht="18" customHeight="1" x14ac:dyDescent="0.2">
      <c r="AW200" s="737">
        <f t="shared" si="75"/>
        <v>188</v>
      </c>
      <c r="AX200" s="496" t="s">
        <v>555</v>
      </c>
      <c r="AY200" s="522"/>
      <c r="AZ200" s="497">
        <v>20</v>
      </c>
      <c r="BA200" s="497"/>
      <c r="BB200" s="523">
        <v>20</v>
      </c>
      <c r="BC200" s="524">
        <v>6</v>
      </c>
      <c r="BD200" s="525">
        <v>2.64</v>
      </c>
      <c r="BE200" s="526"/>
      <c r="BF200" s="493"/>
      <c r="BG200" s="493"/>
      <c r="BH200" s="494"/>
      <c r="CV200" s="368" t="str">
        <f t="shared" si="76"/>
        <v>Zuckermais</v>
      </c>
      <c r="CW200" s="505">
        <f t="shared" si="77"/>
        <v>187</v>
      </c>
    </row>
    <row r="201" spans="49:101" s="368" customFormat="1" ht="18" customHeight="1" x14ac:dyDescent="0.2">
      <c r="AW201" s="737">
        <f t="shared" si="75"/>
        <v>189</v>
      </c>
      <c r="AX201" s="496" t="s">
        <v>556</v>
      </c>
      <c r="AY201" s="522"/>
      <c r="AZ201" s="497">
        <v>22.4</v>
      </c>
      <c r="BA201" s="497"/>
      <c r="BB201" s="523">
        <v>18</v>
      </c>
      <c r="BC201" s="524">
        <v>8</v>
      </c>
      <c r="BD201" s="525">
        <v>3.52</v>
      </c>
      <c r="BE201" s="526"/>
      <c r="BF201" s="493"/>
      <c r="BG201" s="493"/>
      <c r="BH201" s="494"/>
      <c r="CV201" s="368" t="str">
        <f t="shared" si="76"/>
        <v>Zwiebel, Bund­</v>
      </c>
      <c r="CW201" s="505">
        <f t="shared" si="77"/>
        <v>188</v>
      </c>
    </row>
    <row r="202" spans="49:101" s="368" customFormat="1" ht="18" customHeight="1" x14ac:dyDescent="0.2">
      <c r="AW202" s="737">
        <f t="shared" si="75"/>
        <v>190</v>
      </c>
      <c r="AX202" s="496"/>
      <c r="AY202" s="522"/>
      <c r="AZ202" s="497"/>
      <c r="BA202" s="497"/>
      <c r="BB202" s="523"/>
      <c r="BC202" s="524"/>
      <c r="BD202" s="525"/>
      <c r="BE202" s="526"/>
      <c r="BF202" s="493"/>
      <c r="BG202" s="493"/>
      <c r="BH202" s="494"/>
      <c r="CV202" s="368" t="str">
        <f t="shared" si="76"/>
        <v>Zwiebel, Trocken-</v>
      </c>
      <c r="CW202" s="505">
        <f t="shared" si="77"/>
        <v>189</v>
      </c>
    </row>
    <row r="203" spans="49:101" s="368" customFormat="1" ht="18" customHeight="1" x14ac:dyDescent="0.2">
      <c r="AW203" s="737">
        <f t="shared" si="75"/>
        <v>191</v>
      </c>
      <c r="AX203" s="496" t="s">
        <v>557</v>
      </c>
      <c r="AY203" s="522"/>
      <c r="AZ203" s="497"/>
      <c r="BA203" s="497"/>
      <c r="BB203" s="523"/>
      <c r="BC203" s="524"/>
      <c r="BD203" s="525"/>
      <c r="BE203" s="526"/>
      <c r="BF203" s="493"/>
      <c r="BG203" s="493"/>
      <c r="BH203" s="494"/>
      <c r="CV203" s="368">
        <f t="shared" si="76"/>
        <v>0</v>
      </c>
      <c r="CW203" s="505">
        <f t="shared" si="77"/>
        <v>190</v>
      </c>
    </row>
    <row r="204" spans="49:101" s="368" customFormat="1" ht="18" customHeight="1" x14ac:dyDescent="0.2">
      <c r="AW204" s="737">
        <f t="shared" si="75"/>
        <v>192</v>
      </c>
      <c r="AX204" s="496"/>
      <c r="AY204" s="522"/>
      <c r="AZ204" s="497"/>
      <c r="BA204" s="497"/>
      <c r="BB204" s="523"/>
      <c r="BC204" s="524"/>
      <c r="BD204" s="525"/>
      <c r="BE204" s="526"/>
      <c r="BF204" s="493"/>
      <c r="BG204" s="493"/>
      <c r="BH204" s="494"/>
      <c r="CV204" s="368" t="str">
        <f t="shared" si="76"/>
        <v>1 FM = Frischmasse.</v>
      </c>
      <c r="CW204" s="505">
        <f t="shared" si="77"/>
        <v>191</v>
      </c>
    </row>
    <row r="205" spans="49:101" s="368" customFormat="1" ht="19.5" customHeight="1" x14ac:dyDescent="0.2">
      <c r="AW205" s="737">
        <f t="shared" si="75"/>
        <v>193</v>
      </c>
      <c r="AX205" s="496"/>
      <c r="AY205" s="522"/>
      <c r="AZ205" s="497"/>
      <c r="BA205" s="497"/>
      <c r="BB205" s="523"/>
      <c r="BC205" s="524"/>
      <c r="BD205" s="525"/>
      <c r="BE205" s="526"/>
      <c r="BF205" s="493"/>
      <c r="BG205" s="493"/>
      <c r="BH205" s="494"/>
      <c r="CV205" s="368">
        <f t="shared" si="76"/>
        <v>0</v>
      </c>
      <c r="CW205" s="505">
        <f t="shared" si="77"/>
        <v>192</v>
      </c>
    </row>
    <row r="206" spans="49:101" s="368" customFormat="1" ht="18" customHeight="1" x14ac:dyDescent="0.2">
      <c r="AW206" s="737">
        <f t="shared" si="75"/>
        <v>194</v>
      </c>
      <c r="AX206" s="496"/>
      <c r="AY206" s="522"/>
      <c r="AZ206" s="497"/>
      <c r="BA206" s="497"/>
      <c r="BB206" s="523"/>
      <c r="BC206" s="524"/>
      <c r="BD206" s="525"/>
      <c r="BE206" s="526"/>
      <c r="BF206" s="493"/>
      <c r="BG206" s="493"/>
      <c r="BH206" s="494"/>
      <c r="CV206" s="368">
        <f t="shared" si="76"/>
        <v>0</v>
      </c>
      <c r="CW206" s="505">
        <f t="shared" si="77"/>
        <v>193</v>
      </c>
    </row>
    <row r="207" spans="49:101" s="368" customFormat="1" ht="18" customHeight="1" x14ac:dyDescent="0.2">
      <c r="AW207" s="737">
        <f t="shared" si="75"/>
        <v>195</v>
      </c>
      <c r="AX207" s="496"/>
      <c r="AY207" s="522"/>
      <c r="AZ207" s="497"/>
      <c r="BA207" s="497"/>
      <c r="BB207" s="523"/>
      <c r="BC207" s="524"/>
      <c r="BD207" s="525"/>
      <c r="BE207" s="526"/>
      <c r="BF207" s="493"/>
      <c r="BG207" s="493"/>
      <c r="BH207" s="494"/>
      <c r="CV207" s="368">
        <f t="shared" si="76"/>
        <v>0</v>
      </c>
      <c r="CW207" s="505">
        <f t="shared" si="77"/>
        <v>194</v>
      </c>
    </row>
    <row r="208" spans="49:101" s="368" customFormat="1" ht="18" customHeight="1" x14ac:dyDescent="0.2">
      <c r="AW208" s="737">
        <f t="shared" si="75"/>
        <v>196</v>
      </c>
      <c r="AX208" s="496"/>
      <c r="AY208" s="522"/>
      <c r="AZ208" s="497"/>
      <c r="BA208" s="497"/>
      <c r="BB208" s="523"/>
      <c r="BC208" s="524"/>
      <c r="BD208" s="525"/>
      <c r="BE208" s="526"/>
      <c r="BF208" s="493"/>
      <c r="BG208" s="493"/>
      <c r="BH208" s="494"/>
      <c r="CV208" s="368">
        <f t="shared" si="76"/>
        <v>0</v>
      </c>
      <c r="CW208" s="505">
        <f t="shared" si="77"/>
        <v>195</v>
      </c>
    </row>
    <row r="209" spans="49:101" s="368" customFormat="1" ht="18" customHeight="1" x14ac:dyDescent="0.2">
      <c r="AW209" s="737">
        <f t="shared" si="75"/>
        <v>197</v>
      </c>
      <c r="AX209" s="496"/>
      <c r="AY209" s="522"/>
      <c r="AZ209" s="497"/>
      <c r="BA209" s="497"/>
      <c r="BB209" s="523"/>
      <c r="BC209" s="524"/>
      <c r="BD209" s="525"/>
      <c r="BE209" s="526"/>
      <c r="BF209" s="493"/>
      <c r="BG209" s="493"/>
      <c r="BH209" s="494"/>
      <c r="CV209" s="368">
        <f t="shared" si="76"/>
        <v>0</v>
      </c>
      <c r="CW209" s="505">
        <f t="shared" si="77"/>
        <v>196</v>
      </c>
    </row>
    <row r="210" spans="49:101" s="368" customFormat="1" ht="18" customHeight="1" x14ac:dyDescent="0.2">
      <c r="AW210" s="737">
        <f t="shared" si="75"/>
        <v>198</v>
      </c>
      <c r="AX210" s="496"/>
      <c r="AY210" s="522"/>
      <c r="AZ210" s="497"/>
      <c r="BA210" s="497"/>
      <c r="BB210" s="523"/>
      <c r="BC210" s="524"/>
      <c r="BD210" s="525"/>
      <c r="BE210" s="526"/>
      <c r="BF210" s="493"/>
      <c r="BG210" s="493"/>
      <c r="BH210" s="494"/>
      <c r="CV210" s="368">
        <f t="shared" si="76"/>
        <v>0</v>
      </c>
      <c r="CW210" s="505">
        <f t="shared" si="77"/>
        <v>197</v>
      </c>
    </row>
    <row r="211" spans="49:101" s="368" customFormat="1" ht="18" customHeight="1" x14ac:dyDescent="0.2">
      <c r="AW211" s="737">
        <f t="shared" si="75"/>
        <v>199</v>
      </c>
      <c r="AX211" s="496"/>
      <c r="AY211" s="522"/>
      <c r="AZ211" s="497"/>
      <c r="BA211" s="497"/>
      <c r="BB211" s="523"/>
      <c r="BC211" s="524"/>
      <c r="BD211" s="525"/>
      <c r="BE211" s="526"/>
      <c r="BF211" s="493"/>
      <c r="BG211" s="493"/>
      <c r="BH211" s="494"/>
      <c r="CV211" s="368">
        <f t="shared" si="76"/>
        <v>0</v>
      </c>
      <c r="CW211" s="505">
        <f t="shared" si="77"/>
        <v>198</v>
      </c>
    </row>
    <row r="212" spans="49:101" s="368" customFormat="1" ht="18" customHeight="1" x14ac:dyDescent="0.2">
      <c r="AW212" s="737">
        <f t="shared" si="75"/>
        <v>200</v>
      </c>
      <c r="AX212" s="496"/>
      <c r="AY212" s="522"/>
      <c r="AZ212" s="497"/>
      <c r="BA212" s="497"/>
      <c r="BB212" s="523"/>
      <c r="BC212" s="524"/>
      <c r="BD212" s="525"/>
      <c r="BE212" s="526"/>
      <c r="BF212" s="493"/>
      <c r="BG212" s="493"/>
      <c r="BH212" s="494"/>
      <c r="CV212" s="368">
        <f t="shared" si="76"/>
        <v>0</v>
      </c>
      <c r="CW212" s="505">
        <f t="shared" si="77"/>
        <v>199</v>
      </c>
    </row>
    <row r="213" spans="49:101" s="368" customFormat="1" ht="18" customHeight="1" x14ac:dyDescent="0.2">
      <c r="AW213" s="737">
        <f t="shared" si="75"/>
        <v>201</v>
      </c>
      <c r="AX213" s="496"/>
      <c r="AY213" s="522"/>
      <c r="AZ213" s="497"/>
      <c r="BA213" s="497"/>
      <c r="BB213" s="523"/>
      <c r="BC213" s="524"/>
      <c r="BD213" s="525"/>
      <c r="BE213" s="526"/>
      <c r="BF213" s="493"/>
      <c r="BG213" s="493"/>
      <c r="BH213" s="494"/>
      <c r="CV213" s="368">
        <f t="shared" si="76"/>
        <v>0</v>
      </c>
      <c r="CW213" s="505">
        <f t="shared" si="77"/>
        <v>200</v>
      </c>
    </row>
    <row r="214" spans="49:101" s="368" customFormat="1" ht="18" customHeight="1" x14ac:dyDescent="0.2">
      <c r="AW214" s="737">
        <f t="shared" si="75"/>
        <v>202</v>
      </c>
      <c r="AX214" s="496"/>
      <c r="AY214" s="522"/>
      <c r="AZ214" s="497"/>
      <c r="BA214" s="497"/>
      <c r="BB214" s="523"/>
      <c r="BC214" s="524"/>
      <c r="BD214" s="525"/>
      <c r="BE214" s="526"/>
      <c r="BF214" s="493"/>
      <c r="BG214" s="493"/>
      <c r="BH214" s="494"/>
      <c r="CV214" s="368">
        <f t="shared" si="76"/>
        <v>0</v>
      </c>
      <c r="CW214" s="505">
        <f t="shared" si="77"/>
        <v>201</v>
      </c>
    </row>
    <row r="215" spans="49:101" s="368" customFormat="1" ht="18" customHeight="1" x14ac:dyDescent="0.2">
      <c r="AW215" s="737">
        <f t="shared" si="75"/>
        <v>203</v>
      </c>
      <c r="AX215" s="496"/>
      <c r="AY215" s="622"/>
      <c r="AZ215" s="744"/>
      <c r="BA215" s="614"/>
      <c r="BB215" s="661"/>
      <c r="BC215" s="745"/>
      <c r="BD215" s="583"/>
      <c r="BE215" s="526"/>
      <c r="BF215" s="493"/>
      <c r="BG215" s="493"/>
      <c r="BH215" s="494"/>
      <c r="CV215" s="368">
        <f t="shared" si="76"/>
        <v>0</v>
      </c>
      <c r="CW215" s="505">
        <f t="shared" si="77"/>
        <v>202</v>
      </c>
    </row>
    <row r="216" spans="49:101" s="368" customFormat="1" ht="18" customHeight="1" x14ac:dyDescent="0.2">
      <c r="AW216" s="737"/>
      <c r="AX216" s="746"/>
      <c r="AY216" s="746"/>
      <c r="AZ216" s="747"/>
      <c r="BA216" s="747"/>
      <c r="BB216" s="748"/>
      <c r="BC216" s="748"/>
      <c r="BD216" s="748"/>
      <c r="BE216" s="749"/>
      <c r="BF216" s="493"/>
      <c r="BG216" s="493"/>
      <c r="BH216" s="494"/>
      <c r="CV216" s="368">
        <f t="shared" si="76"/>
        <v>0</v>
      </c>
      <c r="CW216" s="505">
        <f t="shared" si="77"/>
        <v>203</v>
      </c>
    </row>
    <row r="217" spans="49:101" s="368" customFormat="1" ht="18" customHeight="1" x14ac:dyDescent="0.2">
      <c r="AW217" s="737"/>
      <c r="AX217" s="746"/>
      <c r="AY217" s="746"/>
      <c r="AZ217" s="747"/>
      <c r="BA217" s="747"/>
      <c r="BB217" s="748"/>
      <c r="BC217" s="748"/>
      <c r="BD217" s="748"/>
      <c r="BE217" s="749"/>
      <c r="BF217" s="493"/>
      <c r="BG217" s="493"/>
      <c r="BH217" s="494"/>
      <c r="CV217" s="368">
        <f t="shared" si="76"/>
        <v>0</v>
      </c>
      <c r="CW217" s="505">
        <f t="shared" si="77"/>
        <v>0</v>
      </c>
    </row>
    <row r="218" spans="49:101" s="368" customFormat="1" ht="18" customHeight="1" x14ac:dyDescent="0.2">
      <c r="AW218" s="737"/>
      <c r="AX218" s="746"/>
      <c r="AY218" s="746"/>
      <c r="AZ218" s="747"/>
      <c r="BA218" s="747"/>
      <c r="BB218" s="748"/>
      <c r="BC218" s="748"/>
      <c r="BD218" s="748"/>
      <c r="BE218" s="749"/>
      <c r="BF218" s="493"/>
      <c r="BG218" s="493"/>
      <c r="BH218" s="494"/>
      <c r="CV218" s="368">
        <f t="shared" si="76"/>
        <v>0</v>
      </c>
      <c r="CW218" s="505">
        <f t="shared" si="77"/>
        <v>0</v>
      </c>
    </row>
    <row r="219" spans="49:101" s="368" customFormat="1" ht="18" customHeight="1" x14ac:dyDescent="0.2">
      <c r="AW219" s="737"/>
      <c r="AX219" s="746"/>
      <c r="AY219" s="746"/>
      <c r="AZ219" s="747"/>
      <c r="BA219" s="747"/>
      <c r="BB219" s="748"/>
      <c r="BC219" s="748"/>
      <c r="BD219" s="748"/>
      <c r="BE219" s="749"/>
      <c r="BF219" s="493"/>
      <c r="BG219" s="493"/>
      <c r="BH219" s="494"/>
      <c r="CV219" s="368">
        <f t="shared" si="76"/>
        <v>0</v>
      </c>
      <c r="CW219" s="505">
        <f t="shared" si="77"/>
        <v>0</v>
      </c>
    </row>
    <row r="220" spans="49:101" s="368" customFormat="1" ht="18" customHeight="1" x14ac:dyDescent="0.2">
      <c r="AW220" s="737"/>
      <c r="AX220" s="746"/>
      <c r="AY220" s="746"/>
      <c r="AZ220" s="747"/>
      <c r="BA220" s="747"/>
      <c r="BB220" s="748"/>
      <c r="BC220" s="748"/>
      <c r="BD220" s="748"/>
      <c r="BE220" s="749"/>
      <c r="BF220" s="493"/>
      <c r="BG220" s="493"/>
      <c r="BH220" s="494"/>
      <c r="CV220" s="368">
        <f t="shared" si="76"/>
        <v>0</v>
      </c>
      <c r="CW220" s="505">
        <f t="shared" si="77"/>
        <v>0</v>
      </c>
    </row>
    <row r="221" spans="49:101" s="368" customFormat="1" ht="18" customHeight="1" x14ac:dyDescent="0.2">
      <c r="AW221" s="737"/>
      <c r="AX221" s="746"/>
      <c r="AY221" s="746"/>
      <c r="AZ221" s="747"/>
      <c r="BA221" s="747"/>
      <c r="BB221" s="748"/>
      <c r="BC221" s="748"/>
      <c r="BD221" s="748"/>
      <c r="BE221" s="749"/>
      <c r="BF221" s="493"/>
      <c r="BG221" s="493"/>
      <c r="BH221" s="494"/>
      <c r="CV221" s="368">
        <f t="shared" si="76"/>
        <v>0</v>
      </c>
      <c r="CW221" s="505">
        <f t="shared" si="77"/>
        <v>0</v>
      </c>
    </row>
    <row r="222" spans="49:101" s="368" customFormat="1" ht="18" customHeight="1" x14ac:dyDescent="0.2">
      <c r="AW222" s="737"/>
      <c r="AX222" s="746"/>
      <c r="AY222" s="746"/>
      <c r="AZ222" s="747"/>
      <c r="BA222" s="747"/>
      <c r="BB222" s="748"/>
      <c r="BC222" s="748"/>
      <c r="BD222" s="748"/>
      <c r="BE222" s="749"/>
      <c r="BF222" s="493"/>
      <c r="BG222" s="493"/>
      <c r="BH222" s="494"/>
      <c r="CV222" s="368">
        <f t="shared" si="76"/>
        <v>0</v>
      </c>
      <c r="CW222" s="505">
        <f t="shared" si="77"/>
        <v>0</v>
      </c>
    </row>
    <row r="223" spans="49:101" ht="22.7" customHeight="1" x14ac:dyDescent="0.2">
      <c r="AW223" s="495"/>
      <c r="AX223" s="746"/>
      <c r="AY223" s="746"/>
      <c r="AZ223" s="747"/>
      <c r="BA223" s="747"/>
      <c r="BB223" s="748"/>
      <c r="BC223" s="748"/>
      <c r="BD223" s="748"/>
      <c r="BE223" s="749"/>
      <c r="BF223" s="493"/>
      <c r="BG223" s="493"/>
      <c r="BH223" s="494"/>
      <c r="CV223" s="368">
        <f t="shared" si="76"/>
        <v>0</v>
      </c>
      <c r="CW223" s="505">
        <f t="shared" si="77"/>
        <v>0</v>
      </c>
    </row>
    <row r="224" spans="49:101" ht="22.7" customHeight="1" x14ac:dyDescent="0.2">
      <c r="AW224" s="495"/>
      <c r="AX224" s="746"/>
      <c r="AY224" s="746"/>
      <c r="AZ224" s="747"/>
      <c r="BA224" s="747"/>
      <c r="BB224" s="748"/>
      <c r="BC224" s="748"/>
      <c r="BD224" s="748"/>
      <c r="BE224" s="749"/>
      <c r="BF224" s="493"/>
      <c r="BG224" s="493"/>
      <c r="BH224" s="494"/>
      <c r="CV224" s="368">
        <f t="shared" si="76"/>
        <v>0</v>
      </c>
      <c r="CW224" s="505">
        <f t="shared" si="77"/>
        <v>0</v>
      </c>
    </row>
    <row r="225" spans="49:101" ht="22.7" customHeight="1" x14ac:dyDescent="0.2">
      <c r="AW225" s="495"/>
      <c r="AX225" s="746"/>
      <c r="AY225" s="746"/>
      <c r="AZ225" s="747"/>
      <c r="BA225" s="747"/>
      <c r="BB225" s="748"/>
      <c r="BC225" s="748"/>
      <c r="BD225" s="748"/>
      <c r="BE225" s="750"/>
      <c r="BF225" s="751"/>
      <c r="BG225" s="751"/>
      <c r="BH225" s="752"/>
      <c r="CV225" s="368">
        <f t="shared" si="76"/>
        <v>0</v>
      </c>
      <c r="CW225" s="505">
        <f t="shared" si="77"/>
        <v>0</v>
      </c>
    </row>
    <row r="226" spans="49:101" x14ac:dyDescent="0.2">
      <c r="AY226" s="753"/>
      <c r="CV226" s="368">
        <f t="shared" si="76"/>
        <v>0</v>
      </c>
      <c r="CW226" s="505">
        <f t="shared" si="77"/>
        <v>0</v>
      </c>
    </row>
    <row r="227" spans="49:101" ht="18.399999999999999" customHeight="1" x14ac:dyDescent="0.2"/>
    <row r="228" spans="49:101" ht="18.399999999999999" customHeight="1" x14ac:dyDescent="0.2"/>
    <row r="229" spans="49:101" ht="18.399999999999999" customHeight="1" x14ac:dyDescent="0.2"/>
    <row r="230" spans="49:101" ht="18.399999999999999" customHeight="1" x14ac:dyDescent="0.2"/>
    <row r="231" spans="49:101" ht="18.399999999999999" customHeight="1" x14ac:dyDescent="0.2"/>
    <row r="232" spans="49:101" ht="18.399999999999999" customHeight="1" x14ac:dyDescent="0.2"/>
    <row r="233" spans="49:101" ht="18.399999999999999" customHeight="1" x14ac:dyDescent="0.2"/>
    <row r="234" spans="49:101" ht="18.399999999999999" customHeight="1" x14ac:dyDescent="0.2"/>
    <row r="235" spans="49:101" ht="18.399999999999999" customHeight="1" x14ac:dyDescent="0.2"/>
    <row r="236" spans="49:101" ht="18.399999999999999" customHeight="1" x14ac:dyDescent="0.2"/>
    <row r="237" spans="49:101" ht="18.399999999999999" customHeight="1" x14ac:dyDescent="0.2"/>
    <row r="238" spans="49:101" ht="18.399999999999999" customHeight="1" x14ac:dyDescent="0.2"/>
    <row r="239" spans="49:101" ht="18.399999999999999" customHeight="1" x14ac:dyDescent="0.2"/>
    <row r="240" spans="49:101" ht="18.399999999999999" customHeight="1" x14ac:dyDescent="0.2"/>
    <row r="241" ht="18.399999999999999" customHeight="1" x14ac:dyDescent="0.2"/>
    <row r="242" ht="18.399999999999999" customHeight="1" x14ac:dyDescent="0.2"/>
    <row r="243" ht="18.399999999999999" customHeight="1" x14ac:dyDescent="0.2"/>
    <row r="244" ht="18.399999999999999" customHeight="1" x14ac:dyDescent="0.2"/>
  </sheetData>
  <sheetProtection algorithmName="SHA-512" hashValue="6araQDfneexOzqNNs5vkMi/bzRp9CgmtayDe/WgvnZcsqcxeLpB9ZLjkmvEg6lt2z09vyiTS6COTzinPf/ZkUQ==" saltValue="1EPiolAk0lbBS24bErVSIw==" spinCount="100000" sheet="1" objects="1" scenarios="1"/>
  <mergeCells count="38">
    <mergeCell ref="K111:O111"/>
    <mergeCell ref="AX129:BD131"/>
    <mergeCell ref="AE58:AF58"/>
    <mergeCell ref="AE59:AF59"/>
    <mergeCell ref="K90:O90"/>
    <mergeCell ref="K101:O101"/>
    <mergeCell ref="Q105:R105"/>
    <mergeCell ref="AT35:AV36"/>
    <mergeCell ref="AE55:AF55"/>
    <mergeCell ref="AE56:AF56"/>
    <mergeCell ref="K57:O57"/>
    <mergeCell ref="Q57:R57"/>
    <mergeCell ref="AE57:AF57"/>
    <mergeCell ref="BV8:BV9"/>
    <mergeCell ref="BW8:BY8"/>
    <mergeCell ref="CB8:CC8"/>
    <mergeCell ref="CE8:CH8"/>
    <mergeCell ref="AE9:AF9"/>
    <mergeCell ref="AQ9:AR9"/>
    <mergeCell ref="CB9:CC9"/>
    <mergeCell ref="BK7:BQ7"/>
    <mergeCell ref="D8:K8"/>
    <mergeCell ref="M8:P8"/>
    <mergeCell ref="R8:R9"/>
    <mergeCell ref="U8:AB8"/>
    <mergeCell ref="AE8:AL8"/>
    <mergeCell ref="AS8:AS9"/>
    <mergeCell ref="AZ8:AZ9"/>
    <mergeCell ref="BA8:BA9"/>
    <mergeCell ref="BB8:BD8"/>
    <mergeCell ref="BE8:BH8"/>
    <mergeCell ref="BM8:BM9"/>
    <mergeCell ref="BO8:BQ8"/>
    <mergeCell ref="D3:P3"/>
    <mergeCell ref="D6:R7"/>
    <mergeCell ref="AQ6:AU7"/>
    <mergeCell ref="AE7:AL7"/>
    <mergeCell ref="AX7:BD7"/>
  </mergeCells>
  <pageMargins left="0.39374999999999999" right="0" top="0.39374999999999999" bottom="0" header="0.118055555555556" footer="0.51180555555555496"/>
  <pageSetup paperSize="0" scale="0" orientation="portrait" usePrinterDefaults="0" useFirstPageNumber="1" horizontalDpi="0" verticalDpi="0" copies="0"/>
  <headerFooter>
    <oddHeader>&amp;L&amp;12Datum: &amp;D&amp;C&amp;12Daten&amp;R&amp;12Seite: &amp;P</oddHead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B85"/>
  <sheetViews>
    <sheetView showGridLines="0" showRowColHeaders="0" zoomScaleNormal="100" workbookViewId="0">
      <selection activeCell="O21" sqref="O21"/>
    </sheetView>
  </sheetViews>
  <sheetFormatPr baseColWidth="10" defaultColWidth="9.140625" defaultRowHeight="12.75" x14ac:dyDescent="0.2"/>
  <cols>
    <col min="1" max="1" width="5.5703125"/>
    <col min="2" max="2" width="3"/>
    <col min="3" max="3" width="0" hidden="1"/>
    <col min="4" max="4" width="0" style="18" hidden="1"/>
    <col min="5" max="5" width="39.5703125" style="18"/>
    <col min="6" max="6" width="11.42578125" style="18"/>
    <col min="7" max="7" width="31.140625" style="18"/>
    <col min="8" max="8" width="8.42578125" style="18"/>
    <col min="9" max="9" width="10.7109375" style="18"/>
    <col min="10" max="10" width="0" style="18" hidden="1"/>
    <col min="11" max="11" width="4.5703125"/>
    <col min="12" max="80" width="11.7109375" style="21"/>
    <col min="81" max="1025" width="11.7109375"/>
  </cols>
  <sheetData>
    <row r="1" spans="1:12" ht="22.5" customHeight="1" x14ac:dyDescent="0.2">
      <c r="A1" s="21"/>
      <c r="B1" s="21"/>
      <c r="C1" s="21"/>
      <c r="D1" s="20"/>
      <c r="E1" s="20"/>
      <c r="F1" s="20"/>
      <c r="G1" s="20"/>
      <c r="H1" s="20"/>
      <c r="I1" s="20"/>
      <c r="J1" s="20"/>
      <c r="K1" s="21"/>
    </row>
    <row r="2" spans="1:12" ht="12" customHeight="1" x14ac:dyDescent="0.2">
      <c r="A2" s="21"/>
      <c r="B2" s="754"/>
      <c r="C2" s="754"/>
      <c r="D2" s="755"/>
      <c r="E2" s="755"/>
      <c r="F2" s="1027" t="s">
        <v>558</v>
      </c>
      <c r="G2" s="1027"/>
      <c r="H2" s="1027"/>
      <c r="I2" s="1027"/>
      <c r="J2" s="755"/>
      <c r="K2" s="754"/>
    </row>
    <row r="3" spans="1:12" ht="71.25" customHeight="1" x14ac:dyDescent="0.2">
      <c r="A3" s="21"/>
      <c r="B3" s="754"/>
      <c r="C3" s="756"/>
      <c r="D3" s="757"/>
      <c r="E3" s="758"/>
      <c r="F3" s="1027"/>
      <c r="G3" s="1027"/>
      <c r="H3" s="1027"/>
      <c r="I3" s="1027"/>
      <c r="J3" s="757"/>
      <c r="K3" s="754"/>
    </row>
    <row r="4" spans="1:12" ht="9.75" hidden="1" customHeight="1" x14ac:dyDescent="0.2">
      <c r="A4" s="21"/>
      <c r="B4" s="754"/>
      <c r="C4" s="1028" t="str">
        <f>CONCATENATE("[ ",Betrieb!E12," ] ",Betrieb!$E$20," ",Betrieb!$E$18,", ",Betrieb!$E$22,", ",Betrieb!$E$26)</f>
        <v>[ 03 123 456 7890 ] Oliver Mustermann, Im Blanken 51, Musterdorf</v>
      </c>
      <c r="D4" s="1028"/>
      <c r="E4" s="1028"/>
      <c r="F4" s="1028"/>
      <c r="G4" s="1028"/>
      <c r="H4" s="1028"/>
      <c r="I4" s="1028"/>
      <c r="J4" s="759">
        <f>Betrieb!E16</f>
        <v>2018</v>
      </c>
      <c r="K4" s="754"/>
    </row>
    <row r="5" spans="1:12" ht="15.75" customHeight="1" x14ac:dyDescent="0.2">
      <c r="A5" s="21"/>
      <c r="B5" s="754"/>
      <c r="C5" s="1029"/>
      <c r="D5" s="1029"/>
      <c r="E5" s="1029"/>
      <c r="F5" s="1029"/>
      <c r="G5" s="1029"/>
      <c r="H5" s="1029"/>
      <c r="I5" s="1029"/>
      <c r="J5" s="755"/>
      <c r="K5" s="754"/>
      <c r="L5" s="760"/>
    </row>
    <row r="6" spans="1:12" ht="18" customHeight="1" x14ac:dyDescent="0.2">
      <c r="A6" s="21"/>
      <c r="B6" s="754"/>
      <c r="C6" s="761" t="s">
        <v>559</v>
      </c>
      <c r="D6" s="762" t="s">
        <v>560</v>
      </c>
      <c r="E6" s="763" t="s">
        <v>560</v>
      </c>
      <c r="F6" s="764"/>
      <c r="G6" s="1030" t="str">
        <f>CONCATENATE(Betrieb!E20," ",Betrieb!E18," ",Betrieb!E26)</f>
        <v>Oliver Mustermann Musterdorf</v>
      </c>
      <c r="H6" s="1030"/>
      <c r="I6" s="1030"/>
      <c r="J6" s="1030"/>
      <c r="K6" s="754"/>
      <c r="L6" s="760"/>
    </row>
    <row r="7" spans="1:12" ht="18" customHeight="1" x14ac:dyDescent="0.2">
      <c r="A7" s="21"/>
      <c r="B7" s="754"/>
      <c r="C7" s="761"/>
      <c r="D7" s="762"/>
      <c r="E7" s="765" t="s">
        <v>561</v>
      </c>
      <c r="F7" s="766"/>
      <c r="G7" s="1031" t="str">
        <f>Betrieb!E12</f>
        <v>03 123 456 7890</v>
      </c>
      <c r="H7" s="1031"/>
      <c r="I7" s="1031"/>
      <c r="J7" s="767"/>
      <c r="K7" s="754"/>
      <c r="L7" s="760"/>
    </row>
    <row r="8" spans="1:12" ht="18" customHeight="1" x14ac:dyDescent="0.2">
      <c r="A8" s="21"/>
      <c r="B8" s="754"/>
      <c r="C8" s="768" t="s">
        <v>562</v>
      </c>
      <c r="D8" s="769"/>
      <c r="E8" s="770" t="s">
        <v>563</v>
      </c>
      <c r="F8" s="771"/>
      <c r="G8" s="1032">
        <f>Betrieb!F28</f>
        <v>30.81</v>
      </c>
      <c r="H8" s="1032"/>
      <c r="I8" s="1032"/>
      <c r="J8" s="1032"/>
      <c r="K8" s="754"/>
    </row>
    <row r="9" spans="1:12" ht="18" customHeight="1" x14ac:dyDescent="0.2">
      <c r="A9" s="21"/>
      <c r="B9" s="754"/>
      <c r="C9" s="768" t="s">
        <v>564</v>
      </c>
      <c r="D9" s="768" t="s">
        <v>565</v>
      </c>
      <c r="E9" s="770" t="s">
        <v>566</v>
      </c>
      <c r="F9" s="771"/>
      <c r="G9" s="1032">
        <f>Berechnung_GVE!F58</f>
        <v>36</v>
      </c>
      <c r="H9" s="1032"/>
      <c r="I9" s="1032"/>
      <c r="J9" s="1032"/>
      <c r="K9" s="754"/>
    </row>
    <row r="10" spans="1:12" ht="18" customHeight="1" x14ac:dyDescent="0.2">
      <c r="A10" s="21"/>
      <c r="B10" s="754"/>
      <c r="C10" s="768" t="s">
        <v>567</v>
      </c>
      <c r="D10" s="762" t="s">
        <v>568</v>
      </c>
      <c r="E10" s="770" t="s">
        <v>568</v>
      </c>
      <c r="F10" s="771"/>
      <c r="G10" s="1033">
        <f>G9/G8</f>
        <v>1.1684518013631937</v>
      </c>
      <c r="H10" s="1033"/>
      <c r="I10" s="1033"/>
      <c r="J10" s="1033"/>
      <c r="K10" s="754"/>
    </row>
    <row r="11" spans="1:12" ht="18" customHeight="1" x14ac:dyDescent="0.2">
      <c r="A11" s="21"/>
      <c r="B11" s="754"/>
      <c r="C11" s="761" t="s">
        <v>569</v>
      </c>
      <c r="D11" s="762" t="s">
        <v>570</v>
      </c>
      <c r="E11" s="770" t="s">
        <v>571</v>
      </c>
      <c r="F11" s="771"/>
      <c r="G11" s="1034">
        <f>dreijaehriger_Mittelwert!H12</f>
        <v>43282</v>
      </c>
      <c r="H11" s="1034"/>
      <c r="I11" s="1034"/>
      <c r="J11" s="1034"/>
      <c r="K11" s="754"/>
    </row>
    <row r="12" spans="1:12" ht="18" customHeight="1" x14ac:dyDescent="0.2">
      <c r="A12" s="21"/>
      <c r="B12" s="754"/>
      <c r="C12" s="761" t="s">
        <v>572</v>
      </c>
      <c r="D12" s="762" t="s">
        <v>573</v>
      </c>
      <c r="E12" s="770" t="s">
        <v>574</v>
      </c>
      <c r="F12" s="771"/>
      <c r="G12" s="1034">
        <f>dreijaehriger_Mittelwert!H13</f>
        <v>43646</v>
      </c>
      <c r="H12" s="1034"/>
      <c r="I12" s="1034"/>
      <c r="J12" s="1034"/>
      <c r="K12" s="754"/>
    </row>
    <row r="13" spans="1:12" ht="18" customHeight="1" x14ac:dyDescent="0.2">
      <c r="A13" s="21"/>
      <c r="B13" s="754"/>
      <c r="C13" s="768" t="s">
        <v>575</v>
      </c>
      <c r="D13" s="762" t="s">
        <v>576</v>
      </c>
      <c r="E13" s="772" t="s">
        <v>576</v>
      </c>
      <c r="F13" s="773"/>
      <c r="G13" s="1035">
        <f ca="1">TODAY()</f>
        <v>43909</v>
      </c>
      <c r="H13" s="1035"/>
      <c r="I13" s="1035"/>
      <c r="J13" s="1035"/>
      <c r="K13" s="754"/>
    </row>
    <row r="14" spans="1:12" ht="15" customHeight="1" x14ac:dyDescent="0.2">
      <c r="A14" s="21"/>
      <c r="B14" s="754"/>
      <c r="C14" s="755"/>
      <c r="D14" s="754"/>
      <c r="E14" s="774"/>
      <c r="F14" s="774"/>
      <c r="G14" s="775"/>
      <c r="H14" s="776"/>
      <c r="I14" s="776"/>
      <c r="J14" s="776"/>
      <c r="K14" s="754"/>
    </row>
    <row r="15" spans="1:12" ht="15" customHeight="1" x14ac:dyDescent="0.2">
      <c r="A15" s="21"/>
      <c r="B15" s="754"/>
      <c r="C15" s="755"/>
      <c r="D15" s="754"/>
      <c r="E15" s="777"/>
      <c r="F15" s="777"/>
      <c r="G15" s="778"/>
      <c r="H15" s="779"/>
      <c r="I15" s="779"/>
      <c r="J15" s="779"/>
      <c r="K15" s="754"/>
    </row>
    <row r="16" spans="1:12" ht="15" hidden="1" customHeight="1" x14ac:dyDescent="0.2">
      <c r="A16" s="21"/>
      <c r="B16" s="754"/>
      <c r="C16" s="755"/>
      <c r="D16" s="754"/>
      <c r="E16" s="780">
        <v>1</v>
      </c>
      <c r="F16" s="781">
        <v>2</v>
      </c>
      <c r="G16" s="780">
        <v>3</v>
      </c>
      <c r="H16" s="782"/>
      <c r="I16" s="783">
        <v>4</v>
      </c>
      <c r="J16" s="776"/>
      <c r="K16" s="754"/>
    </row>
    <row r="17" spans="1:11" ht="25.5" customHeight="1" x14ac:dyDescent="0.2">
      <c r="A17" s="21"/>
      <c r="B17" s="754"/>
      <c r="C17" s="754"/>
      <c r="D17" s="754"/>
      <c r="E17" s="784" t="s">
        <v>96</v>
      </c>
      <c r="F17" s="785" t="s">
        <v>577</v>
      </c>
      <c r="G17" s="1036" t="s">
        <v>578</v>
      </c>
      <c r="H17" s="1036"/>
      <c r="I17" s="786" t="s">
        <v>577</v>
      </c>
      <c r="J17" s="779"/>
      <c r="K17" s="754"/>
    </row>
    <row r="18" spans="1:11" ht="18" customHeight="1" x14ac:dyDescent="0.2">
      <c r="A18" s="21"/>
      <c r="B18" s="754"/>
      <c r="C18" s="787">
        <v>1</v>
      </c>
      <c r="D18" s="754"/>
      <c r="E18" s="788" t="s">
        <v>579</v>
      </c>
      <c r="F18" s="789">
        <f>SUM(F19:F20)</f>
        <v>2150</v>
      </c>
      <c r="G18" s="1037" t="s">
        <v>580</v>
      </c>
      <c r="H18" s="1037"/>
      <c r="I18" s="790">
        <f>Eingabebereich!O25</f>
        <v>113.19999999999999</v>
      </c>
      <c r="J18" s="776"/>
      <c r="K18" s="754"/>
    </row>
    <row r="19" spans="1:11" ht="18" customHeight="1" x14ac:dyDescent="0.2">
      <c r="A19" s="21"/>
      <c r="B19" s="754"/>
      <c r="C19" s="787">
        <v>2</v>
      </c>
      <c r="D19" s="754"/>
      <c r="E19" s="788" t="s">
        <v>581</v>
      </c>
      <c r="F19" s="790">
        <f>Eingabebereich!M186</f>
        <v>0</v>
      </c>
      <c r="G19" s="1038" t="s">
        <v>171</v>
      </c>
      <c r="H19" s="1038"/>
      <c r="I19" s="790">
        <f>Eingabebereich!O47</f>
        <v>5000</v>
      </c>
      <c r="J19" s="791"/>
      <c r="K19" s="754"/>
    </row>
    <row r="20" spans="1:11" ht="18" customHeight="1" x14ac:dyDescent="0.2">
      <c r="A20" s="21"/>
      <c r="B20" s="754"/>
      <c r="C20" s="792">
        <v>3</v>
      </c>
      <c r="D20" s="754"/>
      <c r="E20" s="788" t="s">
        <v>582</v>
      </c>
      <c r="F20" s="790">
        <f>Eingabebereich!M211</f>
        <v>2150</v>
      </c>
      <c r="G20" s="1038" t="s">
        <v>579</v>
      </c>
      <c r="H20" s="1038"/>
      <c r="I20" s="790">
        <f>SUM(I21:I22)</f>
        <v>1587.9</v>
      </c>
      <c r="J20" s="791"/>
      <c r="K20" s="754"/>
    </row>
    <row r="21" spans="1:11" ht="18" customHeight="1" x14ac:dyDescent="0.2">
      <c r="A21" s="21"/>
      <c r="B21" s="754"/>
      <c r="C21" s="787">
        <v>4</v>
      </c>
      <c r="D21" s="754"/>
      <c r="E21" s="788" t="s">
        <v>583</v>
      </c>
      <c r="F21" s="790">
        <f>Eingabebereich!M117</f>
        <v>350</v>
      </c>
      <c r="G21" s="1038" t="s">
        <v>581</v>
      </c>
      <c r="H21" s="1038"/>
      <c r="I21" s="790">
        <f>Eingabebereich!O186</f>
        <v>1587.9</v>
      </c>
      <c r="J21" s="754"/>
      <c r="K21" s="754"/>
    </row>
    <row r="22" spans="1:11" ht="18" customHeight="1" x14ac:dyDescent="0.2">
      <c r="A22" s="21"/>
      <c r="B22" s="754"/>
      <c r="C22" s="792">
        <v>5</v>
      </c>
      <c r="D22" s="754"/>
      <c r="E22" s="793" t="s">
        <v>76</v>
      </c>
      <c r="F22" s="790">
        <f>Eingabebereich!M166</f>
        <v>350</v>
      </c>
      <c r="G22" s="1039" t="s">
        <v>582</v>
      </c>
      <c r="H22" s="1039"/>
      <c r="I22" s="790">
        <f>Eingabebereich!O211</f>
        <v>0</v>
      </c>
      <c r="J22" s="794"/>
      <c r="K22" s="754"/>
    </row>
    <row r="23" spans="1:11" ht="18" customHeight="1" x14ac:dyDescent="0.2">
      <c r="A23" s="21"/>
      <c r="B23" s="754"/>
      <c r="C23" s="787">
        <v>6</v>
      </c>
      <c r="D23" s="754"/>
      <c r="E23" s="795" t="s">
        <v>74</v>
      </c>
      <c r="F23" s="790">
        <f>Eingabebereich!M151</f>
        <v>350</v>
      </c>
      <c r="G23" s="1037" t="s">
        <v>583</v>
      </c>
      <c r="H23" s="1037"/>
      <c r="I23" s="790">
        <f>Eingabebereich!O117</f>
        <v>0</v>
      </c>
      <c r="J23" s="796"/>
      <c r="K23" s="754"/>
    </row>
    <row r="24" spans="1:11" ht="18" customHeight="1" x14ac:dyDescent="0.2">
      <c r="A24" s="21"/>
      <c r="B24" s="754"/>
      <c r="C24" s="787">
        <v>7</v>
      </c>
      <c r="D24" s="754"/>
      <c r="E24" s="797" t="s">
        <v>181</v>
      </c>
      <c r="F24" s="790">
        <f>Eingabebereich!M87</f>
        <v>2500</v>
      </c>
      <c r="G24" s="1040" t="s">
        <v>76</v>
      </c>
      <c r="H24" s="1040"/>
      <c r="I24" s="790">
        <f>Eingabebereich!O166</f>
        <v>0</v>
      </c>
      <c r="J24" s="798"/>
      <c r="K24" s="754"/>
    </row>
    <row r="25" spans="1:11" ht="33" customHeight="1" x14ac:dyDescent="0.2">
      <c r="A25" s="21"/>
      <c r="B25" s="754"/>
      <c r="C25" s="787">
        <v>8</v>
      </c>
      <c r="D25" s="754"/>
      <c r="E25" s="799" t="s">
        <v>584</v>
      </c>
      <c r="F25" s="790">
        <f>Eingabebereich!M102</f>
        <v>33</v>
      </c>
      <c r="G25" s="1037" t="s">
        <v>74</v>
      </c>
      <c r="H25" s="1037"/>
      <c r="I25" s="790">
        <f>Eingabebereich!O151</f>
        <v>0</v>
      </c>
      <c r="J25" s="776"/>
      <c r="K25" s="754"/>
    </row>
    <row r="26" spans="1:11" ht="18" customHeight="1" x14ac:dyDescent="0.2">
      <c r="A26" s="21"/>
      <c r="B26" s="754"/>
      <c r="C26" s="787">
        <v>9</v>
      </c>
      <c r="D26" s="754"/>
      <c r="E26" s="795" t="s">
        <v>585</v>
      </c>
      <c r="F26" s="790">
        <f>Eingabebereich!M67</f>
        <v>444.75</v>
      </c>
      <c r="G26" s="1037" t="s">
        <v>181</v>
      </c>
      <c r="H26" s="1037"/>
      <c r="I26" s="790">
        <f>Eingabebereich!O87</f>
        <v>0</v>
      </c>
      <c r="J26" s="776"/>
      <c r="K26" s="754"/>
    </row>
    <row r="27" spans="1:11" ht="27.75" customHeight="1" x14ac:dyDescent="0.2">
      <c r="A27" s="21"/>
      <c r="B27" s="754"/>
      <c r="C27" s="800">
        <v>10</v>
      </c>
      <c r="D27" s="754"/>
      <c r="E27" s="795" t="s">
        <v>586</v>
      </c>
      <c r="F27" s="790">
        <f>Eingabebereich!M231</f>
        <v>4804</v>
      </c>
      <c r="G27" s="1041" t="s">
        <v>584</v>
      </c>
      <c r="H27" s="1041"/>
      <c r="I27" s="790">
        <f>Eingabebereich!O102</f>
        <v>995.5</v>
      </c>
      <c r="J27" s="787"/>
      <c r="K27" s="754"/>
    </row>
    <row r="28" spans="1:11" ht="18" customHeight="1" x14ac:dyDescent="0.2">
      <c r="A28" s="21"/>
      <c r="B28" s="754"/>
      <c r="C28" s="792">
        <v>11</v>
      </c>
      <c r="D28" s="754"/>
      <c r="E28" s="793" t="s">
        <v>587</v>
      </c>
      <c r="F28" s="790">
        <f>Eingabebereich!M2221</f>
        <v>0</v>
      </c>
      <c r="G28" s="1039" t="s">
        <v>585</v>
      </c>
      <c r="H28" s="1039"/>
      <c r="I28" s="790">
        <f>Eingabebereich!O67</f>
        <v>1967.75</v>
      </c>
      <c r="J28" s="754"/>
      <c r="K28" s="754"/>
    </row>
    <row r="29" spans="1:11" ht="18" customHeight="1" x14ac:dyDescent="0.2">
      <c r="A29" s="21"/>
      <c r="B29" s="754"/>
      <c r="C29" s="792">
        <v>12</v>
      </c>
      <c r="D29" s="754"/>
      <c r="E29" s="793" t="s">
        <v>580</v>
      </c>
      <c r="F29" s="790">
        <f>Eingabebereich!M25</f>
        <v>2366</v>
      </c>
      <c r="G29" s="1039" t="s">
        <v>587</v>
      </c>
      <c r="H29" s="1039"/>
      <c r="I29" s="790">
        <f>Eingabebereich!O221</f>
        <v>0</v>
      </c>
      <c r="J29" s="754"/>
      <c r="K29" s="754"/>
    </row>
    <row r="30" spans="1:11" ht="18" customHeight="1" x14ac:dyDescent="0.2">
      <c r="A30" s="21"/>
      <c r="B30" s="754"/>
      <c r="C30" s="792"/>
      <c r="D30" s="754"/>
      <c r="E30" s="793" t="s">
        <v>171</v>
      </c>
      <c r="F30" s="790">
        <f>Eingabebereich!M47</f>
        <v>0</v>
      </c>
      <c r="G30" s="801"/>
      <c r="H30" s="802"/>
      <c r="I30" s="803" t="str">
        <f>Eingabebereich!O37</f>
        <v/>
      </c>
      <c r="J30" s="754"/>
      <c r="K30" s="754"/>
    </row>
    <row r="31" spans="1:11" ht="27" customHeight="1" x14ac:dyDescent="0.2">
      <c r="A31" s="21"/>
      <c r="B31" s="754"/>
      <c r="C31" s="804">
        <v>13</v>
      </c>
      <c r="D31" s="754"/>
      <c r="E31" s="805" t="s">
        <v>588</v>
      </c>
      <c r="F31" s="790">
        <f>F18+SUM(F21:F30)</f>
        <v>13347.75</v>
      </c>
      <c r="G31" s="1042" t="s">
        <v>589</v>
      </c>
      <c r="H31" s="1042"/>
      <c r="I31" s="790">
        <f>SUM(I18:II20)+SUM(I23:I30)</f>
        <v>9664.35</v>
      </c>
      <c r="J31" s="794"/>
      <c r="K31" s="754"/>
    </row>
    <row r="32" spans="1:11" ht="29.25" customHeight="1" x14ac:dyDescent="0.2">
      <c r="A32" s="21"/>
      <c r="B32" s="754"/>
      <c r="C32" s="804">
        <v>14</v>
      </c>
      <c r="D32" s="754"/>
      <c r="E32" s="805" t="s">
        <v>590</v>
      </c>
      <c r="F32" s="806">
        <f>F31/G8</f>
        <v>433.22784810126586</v>
      </c>
      <c r="G32" s="1042" t="s">
        <v>591</v>
      </c>
      <c r="H32" s="1042"/>
      <c r="I32" s="806">
        <f>I31/G8</f>
        <v>313.67575462512173</v>
      </c>
      <c r="J32" s="807"/>
      <c r="K32" s="754"/>
    </row>
    <row r="33" spans="1:33" ht="26.25" customHeight="1" x14ac:dyDescent="0.2">
      <c r="A33" s="21"/>
      <c r="B33" s="754"/>
      <c r="C33" s="804">
        <v>15</v>
      </c>
      <c r="D33" s="754"/>
      <c r="E33" s="805" t="s">
        <v>592</v>
      </c>
      <c r="F33" s="1045">
        <f>F31-I31</f>
        <v>3683.3999999999996</v>
      </c>
      <c r="G33" s="1045"/>
      <c r="H33" s="1045"/>
      <c r="I33" s="1045"/>
      <c r="J33" s="807"/>
      <c r="K33" s="754"/>
    </row>
    <row r="34" spans="1:33" ht="26.25" customHeight="1" x14ac:dyDescent="0.2">
      <c r="A34" s="21"/>
      <c r="B34" s="754"/>
      <c r="C34" s="804">
        <v>16</v>
      </c>
      <c r="D34" s="754"/>
      <c r="E34" s="805" t="s">
        <v>593</v>
      </c>
      <c r="F34" s="1046">
        <f>F33/G8</f>
        <v>119.55209347614411</v>
      </c>
      <c r="G34" s="1046"/>
      <c r="H34" s="1046"/>
      <c r="I34" s="1046"/>
      <c r="J34" s="807"/>
      <c r="K34" s="754"/>
    </row>
    <row r="35" spans="1:33" ht="26.25" customHeight="1" x14ac:dyDescent="0.2">
      <c r="A35" s="21"/>
      <c r="B35" s="754"/>
      <c r="C35" s="804">
        <v>17</v>
      </c>
      <c r="D35" s="754"/>
      <c r="E35" s="805" t="s">
        <v>594</v>
      </c>
      <c r="F35" s="1047"/>
      <c r="G35" s="1047"/>
      <c r="H35" s="1047"/>
      <c r="I35" s="1047"/>
      <c r="J35" s="807"/>
      <c r="K35" s="754"/>
    </row>
    <row r="36" spans="1:33" ht="15" customHeight="1" x14ac:dyDescent="0.2">
      <c r="A36" s="21"/>
      <c r="B36" s="754"/>
      <c r="C36" s="800"/>
      <c r="D36" s="754"/>
      <c r="E36" s="808"/>
      <c r="F36" s="808"/>
      <c r="G36" s="775"/>
      <c r="H36" s="809"/>
      <c r="I36" s="809"/>
      <c r="J36" s="809"/>
      <c r="K36" s="754"/>
    </row>
    <row r="37" spans="1:33" ht="31.5" customHeight="1" x14ac:dyDescent="0.2">
      <c r="A37" s="21"/>
      <c r="B37" s="754"/>
      <c r="C37" s="1048" t="s">
        <v>595</v>
      </c>
      <c r="D37" s="1048"/>
      <c r="E37" s="1048"/>
      <c r="F37" s="1048"/>
      <c r="G37" s="1048"/>
      <c r="H37" s="1048"/>
      <c r="I37" s="1048"/>
      <c r="J37" s="1048"/>
      <c r="K37" s="754"/>
    </row>
    <row r="38" spans="1:33" ht="15" customHeight="1" x14ac:dyDescent="0.2">
      <c r="A38" s="21"/>
      <c r="B38" s="754"/>
      <c r="C38" s="810" t="s">
        <v>596</v>
      </c>
      <c r="D38" s="754"/>
      <c r="E38" s="1043" t="s">
        <v>597</v>
      </c>
      <c r="F38" s="1043"/>
      <c r="G38" s="754"/>
      <c r="H38" s="754"/>
      <c r="I38" s="754"/>
      <c r="J38" s="754"/>
      <c r="K38" s="754"/>
    </row>
    <row r="39" spans="1:33" ht="15" customHeight="1" x14ac:dyDescent="0.2">
      <c r="A39" s="21"/>
      <c r="B39" s="754"/>
      <c r="C39" s="811"/>
      <c r="D39" s="754"/>
      <c r="E39" s="754"/>
      <c r="F39" s="754"/>
      <c r="G39" s="812"/>
      <c r="H39" s="812"/>
      <c r="I39" s="812"/>
      <c r="J39" s="812"/>
      <c r="K39" s="754"/>
    </row>
    <row r="40" spans="1:33" ht="15" customHeight="1" x14ac:dyDescent="0.2">
      <c r="A40" s="21"/>
      <c r="B40" s="754"/>
      <c r="C40" s="754"/>
      <c r="D40" s="754"/>
      <c r="E40" s="754"/>
      <c r="F40" s="754"/>
      <c r="G40" s="754"/>
      <c r="H40" s="754"/>
      <c r="I40" s="754"/>
      <c r="J40" s="754"/>
      <c r="K40" s="754"/>
    </row>
    <row r="41" spans="1:33" ht="15" customHeight="1" x14ac:dyDescent="0.2">
      <c r="A41" s="21"/>
      <c r="B41" s="754"/>
      <c r="C41" s="754"/>
      <c r="D41" s="754"/>
      <c r="E41" s="1044" t="str">
        <f>Betrieb!$D$33</f>
        <v>Version 2019    von Heinrich - Bernhard Münzebrock</v>
      </c>
      <c r="F41" s="1044"/>
      <c r="G41" s="1044"/>
      <c r="H41" s="1044"/>
      <c r="I41" s="1044"/>
      <c r="J41" s="754"/>
      <c r="K41" s="754"/>
    </row>
    <row r="42" spans="1:33" ht="17.25" customHeight="1" x14ac:dyDescent="0.2">
      <c r="A42" s="21"/>
      <c r="B42" s="754"/>
      <c r="C42" s="754"/>
      <c r="D42" s="754"/>
      <c r="E42" s="754"/>
      <c r="F42" s="754"/>
      <c r="G42" s="754"/>
      <c r="H42" s="754"/>
      <c r="I42" s="754"/>
      <c r="J42" s="754"/>
      <c r="K42" s="754"/>
    </row>
    <row r="43" spans="1:33" ht="21" hidden="1" customHeight="1" x14ac:dyDescent="0.2">
      <c r="A43" s="21"/>
      <c r="B43" s="51"/>
      <c r="C43" s="51"/>
      <c r="D43" s="51"/>
      <c r="E43" s="51"/>
      <c r="F43" s="51"/>
      <c r="G43" s="51"/>
      <c r="H43" s="51"/>
      <c r="I43" s="51"/>
      <c r="J43" s="51"/>
      <c r="K43" s="51"/>
    </row>
    <row r="44" spans="1:33" ht="34.35" customHeight="1" x14ac:dyDescent="0.2">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row>
    <row r="45" spans="1:33" ht="17.25" customHeight="1"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row>
    <row r="46" spans="1:33" ht="17.25" customHeight="1"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row>
    <row r="47" spans="1:33" ht="17.25" customHeight="1"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row r="48" spans="1:33" ht="17.25"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row>
    <row r="49" spans="1:33" ht="17.25" customHeight="1"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row>
    <row r="50" spans="1:33"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row>
    <row r="51" spans="1:33"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row>
    <row r="52" spans="1:33"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row>
    <row r="53" spans="1:33"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row>
    <row r="54" spans="1:33"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1:33"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row>
    <row r="56" spans="1:33"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row>
    <row r="57" spans="1:33"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1:33"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1:33"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1:33"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row>
    <row r="63" spans="1:33"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33"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1:33"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row r="66" spans="1:33"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1:33"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row>
    <row r="68" spans="1:33"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row>
    <row r="69" spans="1:33"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row>
    <row r="70" spans="1:33"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row>
    <row r="71" spans="1:33"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row>
    <row r="73" spans="1:33"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row>
    <row r="74" spans="1:33"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1:33"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row>
    <row r="76" spans="1:33"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row>
    <row r="77" spans="1:33"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row>
    <row r="78" spans="1:33"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row>
    <row r="79" spans="1:33"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1:33"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row>
    <row r="81" spans="1:33" x14ac:dyDescent="0.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row>
    <row r="82" spans="1:33" x14ac:dyDescent="0.2">
      <c r="A82" s="50"/>
      <c r="B82" s="50"/>
      <c r="C82" s="50"/>
      <c r="D82" s="50"/>
      <c r="E82" s="50"/>
      <c r="F82" s="50"/>
      <c r="G82" s="50"/>
      <c r="H82" s="50"/>
      <c r="I82" s="50"/>
      <c r="J82" s="50"/>
      <c r="K82" s="50"/>
      <c r="L82" s="50"/>
      <c r="M82" s="50"/>
      <c r="N82" s="50"/>
    </row>
    <row r="83" spans="1:33" x14ac:dyDescent="0.2">
      <c r="A83" s="50"/>
      <c r="B83" s="50"/>
      <c r="C83" s="50"/>
      <c r="D83" s="50"/>
      <c r="E83" s="50"/>
      <c r="F83" s="50"/>
      <c r="G83" s="50"/>
      <c r="H83" s="50"/>
      <c r="I83" s="50"/>
      <c r="J83" s="50"/>
      <c r="K83" s="50"/>
      <c r="L83" s="50"/>
      <c r="M83" s="50"/>
      <c r="N83" s="50"/>
    </row>
    <row r="84" spans="1:33" x14ac:dyDescent="0.2">
      <c r="A84" s="50"/>
      <c r="B84" s="50"/>
      <c r="C84" s="50"/>
      <c r="D84" s="50"/>
      <c r="E84" s="50"/>
      <c r="F84" s="50"/>
      <c r="G84" s="50"/>
      <c r="H84" s="50"/>
      <c r="I84" s="50"/>
      <c r="J84" s="50"/>
      <c r="K84" s="50"/>
      <c r="L84" s="50"/>
      <c r="M84" s="50"/>
      <c r="N84" s="50"/>
    </row>
    <row r="85" spans="1:33" x14ac:dyDescent="0.2">
      <c r="A85" s="51"/>
      <c r="B85" s="50"/>
      <c r="C85" s="50"/>
      <c r="D85" s="50"/>
      <c r="E85" s="50"/>
      <c r="F85" s="50"/>
      <c r="G85" s="50"/>
      <c r="H85" s="51"/>
      <c r="I85" s="50"/>
      <c r="J85" s="50"/>
      <c r="K85" s="50"/>
      <c r="L85" s="50"/>
      <c r="M85" s="50"/>
      <c r="N85" s="50"/>
    </row>
  </sheetData>
  <sheetProtection algorithmName="SHA-512" hashValue="YmFA1XPXhLyNFhEVG7AKLn3Qm8vuOKKTqsw9MznrHkk9sgKS4U8sAaUaaqO3IZzE4xsIvRWlIsQ/kr8StADEng==" saltValue="AbHOxX1VsFYhfTRRKhlpuA==" spinCount="100000" sheet="1" objects="1" scenarios="1"/>
  <mergeCells count="32">
    <mergeCell ref="E38:F38"/>
    <mergeCell ref="E41:I41"/>
    <mergeCell ref="G32:H32"/>
    <mergeCell ref="F33:I33"/>
    <mergeCell ref="F34:I34"/>
    <mergeCell ref="F35:I35"/>
    <mergeCell ref="C37:J37"/>
    <mergeCell ref="G26:H26"/>
    <mergeCell ref="G27:H27"/>
    <mergeCell ref="G28:H28"/>
    <mergeCell ref="G29:H29"/>
    <mergeCell ref="G31:H31"/>
    <mergeCell ref="G21:H21"/>
    <mergeCell ref="G22:H22"/>
    <mergeCell ref="G23:H23"/>
    <mergeCell ref="G24:H24"/>
    <mergeCell ref="G25:H25"/>
    <mergeCell ref="G13:J13"/>
    <mergeCell ref="G17:H17"/>
    <mergeCell ref="G18:H18"/>
    <mergeCell ref="G19:H19"/>
    <mergeCell ref="G20:H20"/>
    <mergeCell ref="G8:J8"/>
    <mergeCell ref="G9:J9"/>
    <mergeCell ref="G10:J10"/>
    <mergeCell ref="G11:J11"/>
    <mergeCell ref="G12:J12"/>
    <mergeCell ref="F2:I3"/>
    <mergeCell ref="C4:I4"/>
    <mergeCell ref="C5:I5"/>
    <mergeCell ref="G6:J6"/>
    <mergeCell ref="G7:I7"/>
  </mergeCells>
  <pageMargins left="0" right="0" top="0.31496062992125984" bottom="0.39370078740157483" header="0.51181102362204722" footer="0.51181102362204722"/>
  <pageSetup paperSize="9" scale="95"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B84"/>
  <sheetViews>
    <sheetView showRowColHeaders="0" zoomScaleNormal="100" workbookViewId="0">
      <selection activeCell="O25" sqref="O25"/>
    </sheetView>
  </sheetViews>
  <sheetFormatPr baseColWidth="10" defaultColWidth="9.140625" defaultRowHeight="12.75" x14ac:dyDescent="0.2"/>
  <cols>
    <col min="1" max="1" width="5.140625"/>
    <col min="2" max="2" width="3"/>
    <col min="3" max="3" width="0" hidden="1"/>
    <col min="4" max="4" width="0" style="18" hidden="1"/>
    <col min="5" max="5" width="39.5703125" style="18"/>
    <col min="6" max="6" width="11.42578125" style="18"/>
    <col min="7" max="7" width="31.140625" style="18"/>
    <col min="8" max="8" width="7.85546875" style="18"/>
    <col min="9" max="9" width="10.7109375" style="18"/>
    <col min="10" max="10" width="0" style="18" hidden="1"/>
    <col min="11" max="11" width="4.5703125"/>
    <col min="12" max="80" width="11.7109375" style="21"/>
    <col min="81" max="1025" width="11.7109375"/>
  </cols>
  <sheetData>
    <row r="1" spans="1:12" ht="19.5" customHeight="1" x14ac:dyDescent="0.2">
      <c r="A1" s="21"/>
      <c r="B1" s="21"/>
      <c r="C1" s="21"/>
      <c r="D1" s="20"/>
      <c r="E1" s="20"/>
      <c r="F1" s="20"/>
      <c r="G1" s="20"/>
      <c r="H1" s="20"/>
      <c r="I1" s="20"/>
      <c r="J1" s="20"/>
      <c r="K1" s="21"/>
    </row>
    <row r="2" spans="1:12" ht="12" customHeight="1" x14ac:dyDescent="0.2">
      <c r="A2" s="21"/>
      <c r="B2" s="754"/>
      <c r="C2" s="754"/>
      <c r="D2" s="755"/>
      <c r="E2" s="755"/>
      <c r="F2" s="1027" t="s">
        <v>598</v>
      </c>
      <c r="G2" s="1027"/>
      <c r="H2" s="1027"/>
      <c r="I2" s="1027"/>
      <c r="J2" s="755"/>
      <c r="K2" s="754"/>
    </row>
    <row r="3" spans="1:12" ht="71.25" customHeight="1" x14ac:dyDescent="0.2">
      <c r="A3" s="21"/>
      <c r="B3" s="754"/>
      <c r="C3" s="756"/>
      <c r="D3" s="757"/>
      <c r="E3" s="758"/>
      <c r="F3" s="1027"/>
      <c r="G3" s="1027"/>
      <c r="H3" s="1027"/>
      <c r="I3" s="1027"/>
      <c r="J3" s="757"/>
      <c r="K3" s="754"/>
    </row>
    <row r="4" spans="1:12" ht="9.75" hidden="1" customHeight="1" x14ac:dyDescent="0.2">
      <c r="A4" s="21"/>
      <c r="B4" s="754"/>
      <c r="C4" s="1028" t="str">
        <f>CONCATENATE("[ ",Betrieb!E12," ] ",Betrieb!$E$20," ",Betrieb!$E$18,", ",Betrieb!$E$22,", ",Betrieb!$E$26)</f>
        <v>[ 03 123 456 7890 ] Oliver Mustermann, Im Blanken 51, Musterdorf</v>
      </c>
      <c r="D4" s="1028"/>
      <c r="E4" s="1028"/>
      <c r="F4" s="1028"/>
      <c r="G4" s="1028"/>
      <c r="H4" s="1028"/>
      <c r="I4" s="1028"/>
      <c r="J4" s="759">
        <f>Betrieb!E16</f>
        <v>2018</v>
      </c>
      <c r="K4" s="754"/>
    </row>
    <row r="5" spans="1:12" ht="15.75" customHeight="1" x14ac:dyDescent="0.2">
      <c r="A5" s="21"/>
      <c r="B5" s="754"/>
      <c r="C5" s="1029"/>
      <c r="D5" s="1029"/>
      <c r="E5" s="1029"/>
      <c r="F5" s="1029"/>
      <c r="G5" s="1029"/>
      <c r="H5" s="1029"/>
      <c r="I5" s="1029"/>
      <c r="J5" s="755"/>
      <c r="K5" s="754"/>
      <c r="L5" s="760"/>
    </row>
    <row r="6" spans="1:12" ht="18" customHeight="1" x14ac:dyDescent="0.2">
      <c r="A6" s="21"/>
      <c r="B6" s="754"/>
      <c r="C6" s="761" t="s">
        <v>559</v>
      </c>
      <c r="D6" s="762" t="s">
        <v>560</v>
      </c>
      <c r="E6" s="763" t="s">
        <v>560</v>
      </c>
      <c r="F6" s="764"/>
      <c r="G6" s="1030" t="str">
        <f>CONCATENATE(Betrieb!E20," ",Betrieb!E18," ",Betrieb!E26)</f>
        <v>Oliver Mustermann Musterdorf</v>
      </c>
      <c r="H6" s="1030"/>
      <c r="I6" s="1030"/>
      <c r="J6" s="1030"/>
      <c r="K6" s="754"/>
      <c r="L6" s="760"/>
    </row>
    <row r="7" spans="1:12" ht="18" customHeight="1" x14ac:dyDescent="0.2">
      <c r="A7" s="21"/>
      <c r="B7" s="754"/>
      <c r="C7" s="761"/>
      <c r="D7" s="762"/>
      <c r="E7" s="765" t="s">
        <v>561</v>
      </c>
      <c r="F7" s="766"/>
      <c r="G7" s="1031" t="str">
        <f>Betrieb!E12</f>
        <v>03 123 456 7890</v>
      </c>
      <c r="H7" s="1031"/>
      <c r="I7" s="1031"/>
      <c r="J7" s="767"/>
      <c r="K7" s="754"/>
      <c r="L7" s="760"/>
    </row>
    <row r="8" spans="1:12" ht="18" customHeight="1" x14ac:dyDescent="0.2">
      <c r="A8" s="21"/>
      <c r="B8" s="754"/>
      <c r="C8" s="768" t="s">
        <v>562</v>
      </c>
      <c r="D8" s="769"/>
      <c r="E8" s="770" t="s">
        <v>563</v>
      </c>
      <c r="F8" s="771"/>
      <c r="G8" s="1032">
        <f>Betrieb!F28</f>
        <v>30.81</v>
      </c>
      <c r="H8" s="1032"/>
      <c r="I8" s="1032"/>
      <c r="J8" s="1032"/>
      <c r="K8" s="754"/>
    </row>
    <row r="9" spans="1:12" ht="18" customHeight="1" x14ac:dyDescent="0.2">
      <c r="A9" s="21"/>
      <c r="B9" s="754"/>
      <c r="C9" s="768" t="s">
        <v>564</v>
      </c>
      <c r="D9" s="768" t="s">
        <v>565</v>
      </c>
      <c r="E9" s="770" t="s">
        <v>566</v>
      </c>
      <c r="F9" s="771"/>
      <c r="G9" s="1032">
        <f>Berechnung_GVE!F58</f>
        <v>36</v>
      </c>
      <c r="H9" s="1032"/>
      <c r="I9" s="1032"/>
      <c r="J9" s="1032"/>
      <c r="K9" s="754"/>
    </row>
    <row r="10" spans="1:12" ht="18" customHeight="1" x14ac:dyDescent="0.2">
      <c r="A10" s="21"/>
      <c r="B10" s="754"/>
      <c r="C10" s="768" t="s">
        <v>567</v>
      </c>
      <c r="D10" s="762" t="s">
        <v>568</v>
      </c>
      <c r="E10" s="770" t="s">
        <v>568</v>
      </c>
      <c r="F10" s="771"/>
      <c r="G10" s="1033">
        <f>G9/G8</f>
        <v>1.1684518013631937</v>
      </c>
      <c r="H10" s="1033"/>
      <c r="I10" s="1033"/>
      <c r="J10" s="1033"/>
      <c r="K10" s="754"/>
    </row>
    <row r="11" spans="1:12" ht="18" customHeight="1" x14ac:dyDescent="0.2">
      <c r="A11" s="21"/>
      <c r="B11" s="754"/>
      <c r="C11" s="761" t="s">
        <v>569</v>
      </c>
      <c r="D11" s="762" t="s">
        <v>570</v>
      </c>
      <c r="E11" s="770" t="s">
        <v>571</v>
      </c>
      <c r="F11" s="771"/>
      <c r="G11" s="1034">
        <f>dreijaehriger_Mittelwert!H12</f>
        <v>43282</v>
      </c>
      <c r="H11" s="1034"/>
      <c r="I11" s="1034"/>
      <c r="J11" s="1034"/>
      <c r="K11" s="754"/>
    </row>
    <row r="12" spans="1:12" ht="18" customHeight="1" x14ac:dyDescent="0.2">
      <c r="A12" s="21"/>
      <c r="B12" s="754"/>
      <c r="C12" s="761" t="s">
        <v>572</v>
      </c>
      <c r="D12" s="762" t="s">
        <v>573</v>
      </c>
      <c r="E12" s="770" t="s">
        <v>574</v>
      </c>
      <c r="F12" s="771"/>
      <c r="G12" s="1034">
        <f>dreijaehriger_Mittelwert!H13</f>
        <v>43646</v>
      </c>
      <c r="H12" s="1034"/>
      <c r="I12" s="1034"/>
      <c r="J12" s="1034"/>
      <c r="K12" s="754"/>
    </row>
    <row r="13" spans="1:12" ht="18" customHeight="1" x14ac:dyDescent="0.2">
      <c r="A13" s="21"/>
      <c r="B13" s="754"/>
      <c r="C13" s="768" t="s">
        <v>575</v>
      </c>
      <c r="D13" s="762" t="s">
        <v>576</v>
      </c>
      <c r="E13" s="772" t="s">
        <v>576</v>
      </c>
      <c r="F13" s="773"/>
      <c r="G13" s="1035">
        <v>43510</v>
      </c>
      <c r="H13" s="1035"/>
      <c r="I13" s="1035"/>
      <c r="J13" s="1035"/>
      <c r="K13" s="754"/>
    </row>
    <row r="14" spans="1:12" ht="15" customHeight="1" x14ac:dyDescent="0.2">
      <c r="A14" s="21"/>
      <c r="B14" s="754"/>
      <c r="C14" s="755"/>
      <c r="D14" s="754"/>
      <c r="E14" s="774"/>
      <c r="F14" s="774"/>
      <c r="G14" s="775"/>
      <c r="H14" s="776"/>
      <c r="I14" s="776"/>
      <c r="J14" s="776"/>
      <c r="K14" s="754"/>
    </row>
    <row r="15" spans="1:12" ht="15" customHeight="1" x14ac:dyDescent="0.2">
      <c r="A15" s="21"/>
      <c r="B15" s="754"/>
      <c r="C15" s="755"/>
      <c r="D15" s="754"/>
      <c r="E15" s="777"/>
      <c r="F15" s="777"/>
      <c r="G15" s="778"/>
      <c r="H15" s="779"/>
      <c r="I15" s="779"/>
      <c r="J15" s="779"/>
      <c r="K15" s="754"/>
    </row>
    <row r="16" spans="1:12" ht="15" hidden="1" customHeight="1" x14ac:dyDescent="0.2">
      <c r="A16" s="21"/>
      <c r="B16" s="754"/>
      <c r="C16" s="755"/>
      <c r="D16" s="754"/>
      <c r="E16" s="780">
        <v>1</v>
      </c>
      <c r="F16" s="781">
        <v>2</v>
      </c>
      <c r="G16" s="780">
        <v>3</v>
      </c>
      <c r="H16" s="782"/>
      <c r="I16" s="783">
        <v>4</v>
      </c>
      <c r="J16" s="776"/>
      <c r="K16" s="754"/>
    </row>
    <row r="17" spans="1:11" ht="25.5" customHeight="1" x14ac:dyDescent="0.2">
      <c r="A17" s="21"/>
      <c r="B17" s="754"/>
      <c r="C17" s="754"/>
      <c r="D17" s="754"/>
      <c r="E17" s="784" t="s">
        <v>96</v>
      </c>
      <c r="F17" s="785" t="s">
        <v>599</v>
      </c>
      <c r="G17" s="1036" t="s">
        <v>578</v>
      </c>
      <c r="H17" s="1036"/>
      <c r="I17" s="786" t="s">
        <v>599</v>
      </c>
      <c r="J17" s="779"/>
      <c r="K17" s="754"/>
    </row>
    <row r="18" spans="1:11" ht="18" customHeight="1" x14ac:dyDescent="0.2">
      <c r="A18" s="21"/>
      <c r="B18" s="754"/>
      <c r="C18" s="787">
        <v>1</v>
      </c>
      <c r="D18" s="754"/>
      <c r="E18" s="788" t="s">
        <v>579</v>
      </c>
      <c r="F18" s="789">
        <f>SUM(F19:F20)</f>
        <v>800</v>
      </c>
      <c r="G18" s="1037" t="s">
        <v>580</v>
      </c>
      <c r="H18" s="1037"/>
      <c r="I18" s="790">
        <f>Eingabebereich!P25</f>
        <v>60.8</v>
      </c>
      <c r="J18" s="776"/>
      <c r="K18" s="754"/>
    </row>
    <row r="19" spans="1:11" ht="18" customHeight="1" x14ac:dyDescent="0.2">
      <c r="A19" s="21"/>
      <c r="B19" s="754"/>
      <c r="C19" s="787">
        <v>2</v>
      </c>
      <c r="D19" s="754"/>
      <c r="E19" s="788" t="s">
        <v>581</v>
      </c>
      <c r="F19" s="790">
        <f>Eingabebereich!N186</f>
        <v>0</v>
      </c>
      <c r="G19" s="1038" t="s">
        <v>171</v>
      </c>
      <c r="H19" s="1038"/>
      <c r="I19" s="790">
        <f>Eingabebereich!P47</f>
        <v>2299.9999999999995</v>
      </c>
      <c r="J19" s="791"/>
      <c r="K19" s="754"/>
    </row>
    <row r="20" spans="1:11" ht="18" customHeight="1" x14ac:dyDescent="0.2">
      <c r="A20" s="21"/>
      <c r="B20" s="754"/>
      <c r="C20" s="792">
        <v>3</v>
      </c>
      <c r="D20" s="754"/>
      <c r="E20" s="788" t="s">
        <v>600</v>
      </c>
      <c r="F20" s="790">
        <f>Eingabebereich!N211</f>
        <v>800</v>
      </c>
      <c r="G20" s="1038" t="s">
        <v>579</v>
      </c>
      <c r="H20" s="1038"/>
      <c r="I20" s="790">
        <f>SUM(I21:I22)</f>
        <v>967.2</v>
      </c>
      <c r="J20" s="791"/>
      <c r="K20" s="754"/>
    </row>
    <row r="21" spans="1:11" ht="18" customHeight="1" x14ac:dyDescent="0.2">
      <c r="A21" s="21"/>
      <c r="B21" s="754"/>
      <c r="C21" s="787">
        <v>4</v>
      </c>
      <c r="D21" s="754"/>
      <c r="E21" s="788" t="s">
        <v>583</v>
      </c>
      <c r="F21" s="790">
        <f>Eingabebereich!N117</f>
        <v>550.00000000000011</v>
      </c>
      <c r="G21" s="1038" t="s">
        <v>581</v>
      </c>
      <c r="H21" s="1038"/>
      <c r="I21" s="790">
        <f>Eingabebereich!P186</f>
        <v>967.2</v>
      </c>
      <c r="J21" s="754"/>
      <c r="K21" s="754"/>
    </row>
    <row r="22" spans="1:11" ht="18" customHeight="1" x14ac:dyDescent="0.2">
      <c r="A22" s="21"/>
      <c r="B22" s="754"/>
      <c r="C22" s="792">
        <v>5</v>
      </c>
      <c r="D22" s="754"/>
      <c r="E22" s="793" t="s">
        <v>76</v>
      </c>
      <c r="F22" s="790">
        <f>Eingabebereich!N166</f>
        <v>200</v>
      </c>
      <c r="G22" s="1039" t="s">
        <v>601</v>
      </c>
      <c r="H22" s="1039"/>
      <c r="I22" s="790">
        <f>Eingabebereich!P211</f>
        <v>0</v>
      </c>
      <c r="J22" s="794"/>
      <c r="K22" s="754"/>
    </row>
    <row r="23" spans="1:11" ht="18" customHeight="1" x14ac:dyDescent="0.2">
      <c r="A23" s="21"/>
      <c r="B23" s="754"/>
      <c r="C23" s="787">
        <v>6</v>
      </c>
      <c r="D23" s="754"/>
      <c r="E23" s="795" t="s">
        <v>74</v>
      </c>
      <c r="F23" s="790">
        <f>Eingabebereich!N151</f>
        <v>550.00000000000011</v>
      </c>
      <c r="G23" s="1037" t="s">
        <v>583</v>
      </c>
      <c r="H23" s="1037"/>
      <c r="I23" s="790">
        <f>Eingabebereich!P117</f>
        <v>0</v>
      </c>
      <c r="J23" s="796"/>
      <c r="K23" s="754"/>
    </row>
    <row r="24" spans="1:11" ht="18" customHeight="1" x14ac:dyDescent="0.2">
      <c r="A24" s="21"/>
      <c r="B24" s="754"/>
      <c r="C24" s="787">
        <v>7</v>
      </c>
      <c r="D24" s="754"/>
      <c r="E24" s="797" t="s">
        <v>181</v>
      </c>
      <c r="F24" s="790">
        <f>Eingabebereich!N87</f>
        <v>2040</v>
      </c>
      <c r="G24" s="1040" t="s">
        <v>76</v>
      </c>
      <c r="H24" s="1040"/>
      <c r="I24" s="790">
        <f>Eingabebereich!P166</f>
        <v>0</v>
      </c>
      <c r="J24" s="798"/>
      <c r="K24" s="754"/>
    </row>
    <row r="25" spans="1:11" ht="33" customHeight="1" x14ac:dyDescent="0.2">
      <c r="A25" s="21"/>
      <c r="B25" s="754"/>
      <c r="C25" s="787">
        <v>8</v>
      </c>
      <c r="D25" s="754"/>
      <c r="E25" s="799" t="s">
        <v>584</v>
      </c>
      <c r="F25" s="790">
        <f>Eingabebereich!N102</f>
        <v>16</v>
      </c>
      <c r="G25" s="1037" t="s">
        <v>74</v>
      </c>
      <c r="H25" s="1037"/>
      <c r="I25" s="790">
        <f>Eingabebereich!P151</f>
        <v>0</v>
      </c>
      <c r="J25" s="776"/>
      <c r="K25" s="754"/>
    </row>
    <row r="26" spans="1:11" ht="18" customHeight="1" x14ac:dyDescent="0.2">
      <c r="A26" s="21"/>
      <c r="B26" s="754"/>
      <c r="C26" s="787">
        <v>9</v>
      </c>
      <c r="D26" s="754"/>
      <c r="E26" s="795" t="s">
        <v>585</v>
      </c>
      <c r="F26" s="790">
        <f>Eingabebereich!N67</f>
        <v>209.02500000000001</v>
      </c>
      <c r="G26" s="1037" t="s">
        <v>181</v>
      </c>
      <c r="H26" s="1037"/>
      <c r="I26" s="790">
        <f>Eingabebereich!P87</f>
        <v>0</v>
      </c>
      <c r="J26" s="776"/>
      <c r="K26" s="754"/>
    </row>
    <row r="27" spans="1:11" ht="27.75" customHeight="1" x14ac:dyDescent="0.2">
      <c r="A27" s="21"/>
      <c r="B27" s="754"/>
      <c r="C27" s="800">
        <v>10</v>
      </c>
      <c r="D27" s="754"/>
      <c r="E27" s="793" t="s">
        <v>580</v>
      </c>
      <c r="F27" s="790">
        <f>Eingabebereich!N25</f>
        <v>948.8</v>
      </c>
      <c r="G27" s="1041" t="s">
        <v>584</v>
      </c>
      <c r="H27" s="1041"/>
      <c r="I27" s="790">
        <f>Eingabebereich!P102</f>
        <v>440</v>
      </c>
      <c r="J27" s="787"/>
      <c r="K27" s="754"/>
    </row>
    <row r="28" spans="1:11" ht="18" customHeight="1" x14ac:dyDescent="0.2">
      <c r="A28" s="21"/>
      <c r="B28" s="754"/>
      <c r="C28" s="792">
        <v>11</v>
      </c>
      <c r="D28" s="754"/>
      <c r="E28" s="793" t="s">
        <v>171</v>
      </c>
      <c r="F28" s="790">
        <f>Eingabebereich!N47</f>
        <v>0</v>
      </c>
      <c r="G28" s="1039" t="s">
        <v>585</v>
      </c>
      <c r="H28" s="1039"/>
      <c r="I28" s="790">
        <f>Eingabebereich!P67</f>
        <v>928.125</v>
      </c>
      <c r="J28" s="754"/>
      <c r="K28" s="754"/>
    </row>
    <row r="29" spans="1:11" ht="18" customHeight="1" x14ac:dyDescent="0.2">
      <c r="A29" s="21"/>
      <c r="B29" s="754"/>
      <c r="C29" s="792">
        <v>12</v>
      </c>
      <c r="D29" s="754"/>
      <c r="E29" s="793" t="s">
        <v>587</v>
      </c>
      <c r="F29" s="790">
        <f>Eingabebereich!N221</f>
        <v>80</v>
      </c>
      <c r="G29" s="1039" t="s">
        <v>587</v>
      </c>
      <c r="H29" s="1039"/>
      <c r="I29" s="790">
        <f>Eingabebereich!P221</f>
        <v>0</v>
      </c>
      <c r="J29" s="754"/>
      <c r="K29" s="754"/>
    </row>
    <row r="30" spans="1:11" ht="18" customHeight="1" x14ac:dyDescent="0.2">
      <c r="A30" s="21"/>
      <c r="B30" s="754"/>
      <c r="C30" s="792"/>
      <c r="D30" s="754"/>
      <c r="E30" s="813"/>
      <c r="F30" s="814"/>
      <c r="G30" s="801"/>
      <c r="H30" s="802"/>
      <c r="I30" s="803" t="str">
        <f>Eingabebereich!O37</f>
        <v/>
      </c>
      <c r="J30" s="754"/>
      <c r="K30" s="754"/>
    </row>
    <row r="31" spans="1:11" ht="27" customHeight="1" x14ac:dyDescent="0.2">
      <c r="A31" s="21"/>
      <c r="B31" s="754"/>
      <c r="C31" s="804">
        <v>13</v>
      </c>
      <c r="D31" s="754"/>
      <c r="E31" s="805" t="s">
        <v>588</v>
      </c>
      <c r="F31" s="790">
        <f>F18+SUM(F21:F30)</f>
        <v>5393.8249999999998</v>
      </c>
      <c r="G31" s="1042" t="s">
        <v>589</v>
      </c>
      <c r="H31" s="1042"/>
      <c r="I31" s="790">
        <f>SUM(I18:II20)+SUM(I23:I30)</f>
        <v>4696.125</v>
      </c>
      <c r="J31" s="794"/>
      <c r="K31" s="754"/>
    </row>
    <row r="32" spans="1:11" ht="29.25" customHeight="1" x14ac:dyDescent="0.2">
      <c r="A32" s="21"/>
      <c r="B32" s="754"/>
      <c r="C32" s="804">
        <v>14</v>
      </c>
      <c r="D32" s="754"/>
      <c r="E32" s="805" t="s">
        <v>590</v>
      </c>
      <c r="F32" s="806">
        <f>F31/G8</f>
        <v>175.0673482635508</v>
      </c>
      <c r="G32" s="1042" t="s">
        <v>591</v>
      </c>
      <c r="H32" s="1042"/>
      <c r="I32" s="806">
        <f>I31/G8</f>
        <v>152.42210321324245</v>
      </c>
      <c r="J32" s="807"/>
      <c r="K32" s="754"/>
    </row>
    <row r="33" spans="1:33" ht="26.25" customHeight="1" x14ac:dyDescent="0.2">
      <c r="A33" s="21"/>
      <c r="B33" s="754"/>
      <c r="C33" s="804">
        <v>15</v>
      </c>
      <c r="D33" s="754"/>
      <c r="E33" s="805" t="s">
        <v>592</v>
      </c>
      <c r="F33" s="1045">
        <f>F31-I31</f>
        <v>697.69999999999982</v>
      </c>
      <c r="G33" s="1045"/>
      <c r="H33" s="1045"/>
      <c r="I33" s="1045"/>
      <c r="J33" s="807"/>
      <c r="K33" s="754"/>
    </row>
    <row r="34" spans="1:33" ht="26.25" customHeight="1" x14ac:dyDescent="0.2">
      <c r="A34" s="21"/>
      <c r="B34" s="754"/>
      <c r="C34" s="804">
        <v>16</v>
      </c>
      <c r="D34" s="754"/>
      <c r="E34" s="805" t="s">
        <v>593</v>
      </c>
      <c r="F34" s="1046">
        <f>F33/G8</f>
        <v>22.645245050308336</v>
      </c>
      <c r="G34" s="1046"/>
      <c r="H34" s="1046"/>
      <c r="I34" s="1046"/>
      <c r="J34" s="807"/>
      <c r="K34" s="754"/>
    </row>
    <row r="35" spans="1:33" ht="26.25" customHeight="1" x14ac:dyDescent="0.2">
      <c r="A35" s="21"/>
      <c r="B35" s="754"/>
      <c r="C35" s="804">
        <v>17</v>
      </c>
      <c r="D35" s="754"/>
      <c r="E35" s="805" t="s">
        <v>594</v>
      </c>
      <c r="F35" s="1047"/>
      <c r="G35" s="1047"/>
      <c r="H35" s="1047"/>
      <c r="I35" s="1047"/>
      <c r="J35" s="807"/>
      <c r="K35" s="754"/>
    </row>
    <row r="36" spans="1:33" ht="15" customHeight="1" x14ac:dyDescent="0.2">
      <c r="A36" s="21"/>
      <c r="B36" s="754"/>
      <c r="C36" s="800"/>
      <c r="D36" s="754"/>
      <c r="E36" s="808"/>
      <c r="F36" s="808"/>
      <c r="G36" s="775"/>
      <c r="H36" s="809"/>
      <c r="I36" s="809"/>
      <c r="J36" s="809"/>
      <c r="K36" s="754"/>
    </row>
    <row r="37" spans="1:33" ht="31.5" customHeight="1" x14ac:dyDescent="0.2">
      <c r="A37" s="21"/>
      <c r="B37" s="754"/>
      <c r="C37" s="1048" t="s">
        <v>595</v>
      </c>
      <c r="D37" s="1048"/>
      <c r="E37" s="1048"/>
      <c r="F37" s="1048"/>
      <c r="G37" s="1048"/>
      <c r="H37" s="1048"/>
      <c r="I37" s="1048"/>
      <c r="J37" s="1048"/>
      <c r="K37" s="754"/>
    </row>
    <row r="38" spans="1:33" ht="15" customHeight="1" x14ac:dyDescent="0.2">
      <c r="A38" s="21"/>
      <c r="B38" s="754"/>
      <c r="C38" s="810" t="s">
        <v>596</v>
      </c>
      <c r="D38" s="754"/>
      <c r="E38" s="1043" t="s">
        <v>597</v>
      </c>
      <c r="F38" s="1043"/>
      <c r="G38" s="754"/>
      <c r="H38" s="754"/>
      <c r="I38" s="754"/>
      <c r="J38" s="754"/>
      <c r="K38" s="754"/>
    </row>
    <row r="39" spans="1:33" ht="15" customHeight="1" x14ac:dyDescent="0.2">
      <c r="A39" s="21"/>
      <c r="B39" s="754"/>
      <c r="C39" s="811"/>
      <c r="D39" s="754"/>
      <c r="E39" s="754"/>
      <c r="F39" s="754"/>
      <c r="G39" s="812"/>
      <c r="H39" s="812"/>
      <c r="I39" s="812"/>
      <c r="J39" s="812"/>
      <c r="K39" s="754"/>
    </row>
    <row r="40" spans="1:33" ht="15" customHeight="1" x14ac:dyDescent="0.2">
      <c r="A40" s="21"/>
      <c r="B40" s="754"/>
      <c r="C40" s="754"/>
      <c r="D40" s="754"/>
      <c r="E40" s="754"/>
      <c r="F40" s="754"/>
      <c r="G40" s="754"/>
      <c r="H40" s="754"/>
      <c r="I40" s="754"/>
      <c r="J40" s="754"/>
      <c r="K40" s="754"/>
    </row>
    <row r="41" spans="1:33" ht="15" customHeight="1" x14ac:dyDescent="0.2">
      <c r="A41" s="21"/>
      <c r="B41" s="754"/>
      <c r="C41" s="754"/>
      <c r="D41" s="754"/>
      <c r="E41" s="1044" t="str">
        <f>Betrieb!$D$33</f>
        <v>Version 2019    von Heinrich - Bernhard Münzebrock</v>
      </c>
      <c r="F41" s="1044"/>
      <c r="G41" s="1044"/>
      <c r="H41" s="1044"/>
      <c r="I41" s="1044"/>
      <c r="J41" s="754"/>
      <c r="K41" s="754"/>
    </row>
    <row r="42" spans="1:33" ht="17.25" customHeight="1" x14ac:dyDescent="0.2">
      <c r="A42" s="21"/>
      <c r="B42" s="754"/>
      <c r="C42" s="754"/>
      <c r="D42" s="754"/>
      <c r="E42" s="754"/>
      <c r="F42" s="754"/>
      <c r="G42" s="754"/>
      <c r="H42" s="754"/>
      <c r="I42" s="754"/>
      <c r="J42" s="754"/>
      <c r="K42" s="754"/>
    </row>
    <row r="43" spans="1:33" ht="34.35" customHeight="1"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row>
    <row r="44" spans="1:33" ht="17.25" customHeight="1" x14ac:dyDescent="0.2">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row>
    <row r="45" spans="1:33" ht="17.25" customHeight="1"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row>
    <row r="46" spans="1:33" ht="17.25" customHeight="1"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row>
    <row r="47" spans="1:33" ht="17.25" customHeight="1"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row r="48" spans="1:33" ht="17.25"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row>
    <row r="49" spans="1:33"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row>
    <row r="50" spans="1:33"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row>
    <row r="51" spans="1:33"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row>
    <row r="52" spans="1:33"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row>
    <row r="53" spans="1:33"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row>
    <row r="54" spans="1:33"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1:33"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row>
    <row r="56" spans="1:33"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row>
    <row r="57" spans="1:33"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1:33"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1:33"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1:33"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row>
    <row r="63" spans="1:33"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33"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1:33"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row r="66" spans="1:33"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1:33"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row>
    <row r="68" spans="1:33"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row>
    <row r="69" spans="1:33"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row>
    <row r="70" spans="1:33"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row>
    <row r="71" spans="1:33"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row>
    <row r="73" spans="1:33"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row>
    <row r="74" spans="1:33"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1:33"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row>
    <row r="76" spans="1:33"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row>
    <row r="77" spans="1:33"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row>
    <row r="78" spans="1:33"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row>
    <row r="79" spans="1:33"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1:33"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row>
    <row r="81" spans="1:14" x14ac:dyDescent="0.2">
      <c r="A81" s="50"/>
      <c r="B81" s="50"/>
      <c r="C81" s="50"/>
      <c r="D81" s="50"/>
      <c r="E81" s="50"/>
      <c r="F81" s="50"/>
      <c r="G81" s="50"/>
      <c r="H81" s="50"/>
      <c r="I81" s="50"/>
      <c r="J81" s="50"/>
      <c r="K81" s="50"/>
      <c r="L81" s="50"/>
      <c r="M81" s="50"/>
      <c r="N81" s="50"/>
    </row>
    <row r="82" spans="1:14" x14ac:dyDescent="0.2">
      <c r="A82" s="50"/>
      <c r="B82" s="50"/>
      <c r="C82" s="50"/>
      <c r="D82" s="50"/>
      <c r="E82" s="50"/>
      <c r="F82" s="50"/>
      <c r="G82" s="50"/>
      <c r="H82" s="50"/>
      <c r="I82" s="50"/>
      <c r="J82" s="50"/>
      <c r="K82" s="50"/>
      <c r="L82" s="50"/>
      <c r="M82" s="50"/>
      <c r="N82" s="50"/>
    </row>
    <row r="83" spans="1:14" x14ac:dyDescent="0.2">
      <c r="A83" s="50"/>
      <c r="B83" s="50"/>
      <c r="C83" s="50"/>
      <c r="D83" s="50"/>
      <c r="E83" s="50"/>
      <c r="F83" s="50"/>
      <c r="G83" s="50"/>
      <c r="H83" s="50"/>
      <c r="I83" s="50"/>
      <c r="J83" s="50"/>
      <c r="K83" s="50"/>
      <c r="L83" s="50"/>
      <c r="M83" s="50"/>
      <c r="N83" s="50"/>
    </row>
    <row r="84" spans="1:14" x14ac:dyDescent="0.2">
      <c r="A84" s="51"/>
      <c r="B84" s="50"/>
      <c r="C84" s="50"/>
      <c r="D84" s="50"/>
      <c r="E84" s="50"/>
      <c r="F84" s="50"/>
      <c r="G84" s="50"/>
      <c r="H84" s="51"/>
      <c r="I84" s="50"/>
      <c r="J84" s="50"/>
      <c r="K84" s="50"/>
      <c r="L84" s="50"/>
      <c r="M84" s="50"/>
      <c r="N84" s="50"/>
    </row>
  </sheetData>
  <sheetProtection algorithmName="SHA-512" hashValue="kGQ5S3QyEMqqTkD11a1zxyNtwgo9kZ+6dKm2UW6LsV7Ns1SuKDD9GR5j9Mv0SPZ9B/OWdvsIFvnsXAODXd4Hiw==" saltValue="mTjNnHVi4s8cS8k0oL33aQ==" spinCount="100000" sheet="1" objects="1" scenarios="1"/>
  <mergeCells count="32">
    <mergeCell ref="E38:F38"/>
    <mergeCell ref="E41:I41"/>
    <mergeCell ref="G32:H32"/>
    <mergeCell ref="F33:I33"/>
    <mergeCell ref="F34:I34"/>
    <mergeCell ref="F35:I35"/>
    <mergeCell ref="C37:J37"/>
    <mergeCell ref="G26:H26"/>
    <mergeCell ref="G27:H27"/>
    <mergeCell ref="G28:H28"/>
    <mergeCell ref="G29:H29"/>
    <mergeCell ref="G31:H31"/>
    <mergeCell ref="G21:H21"/>
    <mergeCell ref="G22:H22"/>
    <mergeCell ref="G23:H23"/>
    <mergeCell ref="G24:H24"/>
    <mergeCell ref="G25:H25"/>
    <mergeCell ref="G13:J13"/>
    <mergeCell ref="G17:H17"/>
    <mergeCell ref="G18:H18"/>
    <mergeCell ref="G19:H19"/>
    <mergeCell ref="G20:H20"/>
    <mergeCell ref="G8:J8"/>
    <mergeCell ref="G9:J9"/>
    <mergeCell ref="G10:J10"/>
    <mergeCell ref="G11:J11"/>
    <mergeCell ref="G12:J12"/>
    <mergeCell ref="F2:I3"/>
    <mergeCell ref="C4:I4"/>
    <mergeCell ref="C5:I5"/>
    <mergeCell ref="G6:J6"/>
    <mergeCell ref="G7:I7"/>
  </mergeCells>
  <pageMargins left="0" right="0" top="0.19685039370078741" bottom="0.39370078740157483" header="0.51181102362204722" footer="0.51181102362204722"/>
  <pageSetup paperSize="9" scale="96" firstPageNumber="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141"/>
  <sheetViews>
    <sheetView showRowColHeaders="0" tabSelected="1" zoomScaleNormal="100" workbookViewId="0">
      <selection activeCell="O15" sqref="O15"/>
    </sheetView>
  </sheetViews>
  <sheetFormatPr baseColWidth="10" defaultColWidth="9.140625" defaultRowHeight="12.75" x14ac:dyDescent="0.2"/>
  <cols>
    <col min="1" max="1" width="6.28515625"/>
    <col min="2" max="2" width="3.85546875"/>
    <col min="3" max="3" width="19"/>
    <col min="4" max="4" width="10.85546875" customWidth="1"/>
    <col min="5" max="5" width="8.42578125"/>
    <col min="6" max="6" width="7.28515625"/>
    <col min="7" max="7" width="11"/>
    <col min="8" max="8" width="10.85546875"/>
    <col min="10" max="10" width="9.42578125"/>
    <col min="11" max="11" width="11"/>
    <col min="12" max="12" width="10.5703125"/>
    <col min="13" max="13" width="11.28515625"/>
    <col min="14" max="15" width="11"/>
    <col min="16" max="16" width="10.85546875"/>
    <col min="17" max="17" width="10.7109375"/>
    <col min="18" max="18" width="4.85546875"/>
    <col min="19" max="36" width="0" hidden="1"/>
  </cols>
  <sheetData>
    <row r="1" spans="1:57" ht="25.5"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row>
    <row r="2" spans="1:57" x14ac:dyDescent="0.2">
      <c r="A2" s="21"/>
      <c r="B2" s="625"/>
      <c r="C2" s="625"/>
      <c r="D2" s="625"/>
      <c r="E2" s="625"/>
      <c r="F2" s="625"/>
      <c r="G2" s="625"/>
      <c r="H2" s="625"/>
      <c r="I2" s="625"/>
      <c r="J2" s="625"/>
      <c r="K2" s="625"/>
      <c r="L2" s="625"/>
      <c r="M2" s="625"/>
      <c r="N2" s="625"/>
      <c r="O2" s="625"/>
      <c r="P2" s="625"/>
      <c r="Q2" s="625"/>
      <c r="R2" s="625"/>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row>
    <row r="3" spans="1:57" hidden="1" x14ac:dyDescent="0.2">
      <c r="A3" s="21"/>
      <c r="B3" s="625"/>
      <c r="C3" s="625"/>
      <c r="D3" s="625"/>
      <c r="E3" s="625"/>
      <c r="F3" s="625"/>
      <c r="G3" s="625"/>
      <c r="H3" s="625"/>
      <c r="I3" s="625"/>
      <c r="J3" s="625"/>
      <c r="K3" s="625"/>
      <c r="L3" s="625"/>
      <c r="M3" s="625"/>
      <c r="N3" s="625"/>
      <c r="O3" s="625"/>
      <c r="P3" s="625"/>
      <c r="Q3" s="625"/>
      <c r="R3" s="625"/>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row>
    <row r="4" spans="1:57" hidden="1" x14ac:dyDescent="0.2">
      <c r="A4" s="21"/>
      <c r="B4" s="625"/>
      <c r="C4" s="625"/>
      <c r="D4" s="625"/>
      <c r="E4" s="625"/>
      <c r="F4" s="625"/>
      <c r="G4" s="625"/>
      <c r="H4" s="625"/>
      <c r="I4" s="625"/>
      <c r="J4" s="625"/>
      <c r="K4" s="625"/>
      <c r="L4" s="625"/>
      <c r="M4" s="625"/>
      <c r="N4" s="625"/>
      <c r="O4" s="625"/>
      <c r="P4" s="625"/>
      <c r="Q4" s="625"/>
      <c r="R4" s="625"/>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57" hidden="1" x14ac:dyDescent="0.2">
      <c r="A5" s="21"/>
      <c r="B5" s="625"/>
      <c r="C5" s="625"/>
      <c r="D5" s="625"/>
      <c r="E5" s="625"/>
      <c r="F5" s="625"/>
      <c r="G5" s="625"/>
      <c r="H5" s="625"/>
      <c r="I5" s="625"/>
      <c r="J5" s="625"/>
      <c r="K5" s="625"/>
      <c r="L5" s="625"/>
      <c r="M5" s="625"/>
      <c r="N5" s="625"/>
      <c r="O5" s="625"/>
      <c r="P5" s="625"/>
      <c r="Q5" s="625"/>
      <c r="R5" s="625"/>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hidden="1" x14ac:dyDescent="0.2">
      <c r="A6" s="21"/>
      <c r="B6" s="625"/>
      <c r="C6" s="625"/>
      <c r="D6" s="625"/>
      <c r="E6" s="625"/>
      <c r="F6" s="625"/>
      <c r="G6" s="625"/>
      <c r="H6" s="625"/>
      <c r="I6" s="625"/>
      <c r="J6" s="625"/>
      <c r="K6" s="625"/>
      <c r="L6" s="625"/>
      <c r="M6" s="625"/>
      <c r="N6" s="625"/>
      <c r="O6" s="625"/>
      <c r="P6" s="625"/>
      <c r="Q6" s="625"/>
      <c r="R6" s="625"/>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x14ac:dyDescent="0.2">
      <c r="A7" s="21"/>
      <c r="B7" s="625"/>
      <c r="C7" s="625"/>
      <c r="D7" s="625"/>
      <c r="E7" s="625"/>
      <c r="F7" s="625"/>
      <c r="G7" s="625"/>
      <c r="H7" s="625"/>
      <c r="I7" s="625"/>
      <c r="J7" s="625"/>
      <c r="K7" s="625"/>
      <c r="L7" s="625"/>
      <c r="M7" s="625"/>
      <c r="N7" s="625"/>
      <c r="O7" s="625"/>
      <c r="P7" s="625"/>
      <c r="Q7" s="625"/>
      <c r="R7" s="625"/>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ht="66.75" customHeight="1" x14ac:dyDescent="0.25">
      <c r="A8" s="21"/>
      <c r="B8" s="815"/>
      <c r="C8" s="1049" t="s">
        <v>602</v>
      </c>
      <c r="D8" s="1049"/>
      <c r="E8" s="1049"/>
      <c r="F8" s="1049"/>
      <c r="G8" s="1049"/>
      <c r="H8" s="1049"/>
      <c r="I8" s="1049"/>
      <c r="J8" s="1049"/>
      <c r="K8" s="1049"/>
      <c r="L8" s="1049"/>
      <c r="M8" s="1049"/>
      <c r="N8" s="1049"/>
      <c r="O8" s="1049"/>
      <c r="P8" s="1049"/>
      <c r="Q8" s="1049"/>
      <c r="R8" s="625"/>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ht="37.5" customHeight="1" x14ac:dyDescent="0.2">
      <c r="A9" s="21"/>
      <c r="B9" s="625"/>
      <c r="C9" s="625"/>
      <c r="D9" s="625"/>
      <c r="E9" s="625"/>
      <c r="F9" s="625"/>
      <c r="G9" s="625"/>
      <c r="H9" s="625"/>
      <c r="I9" s="625"/>
      <c r="J9" s="625"/>
      <c r="K9" s="625"/>
      <c r="L9" s="625"/>
      <c r="M9" s="625"/>
      <c r="N9" s="625"/>
      <c r="O9" s="625"/>
      <c r="P9" s="625"/>
      <c r="Q9" s="625"/>
      <c r="R9" s="625"/>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row>
    <row r="10" spans="1:57" ht="20.100000000000001" customHeight="1" x14ac:dyDescent="0.2">
      <c r="A10" s="21"/>
      <c r="B10" s="625"/>
      <c r="C10" s="1050" t="s">
        <v>560</v>
      </c>
      <c r="D10" s="1050"/>
      <c r="E10" s="1050"/>
      <c r="F10" s="1050"/>
      <c r="G10" s="1050"/>
      <c r="H10" s="1051" t="str">
        <f>CONCATENATE(Betrieb!E20," ",Betrieb!E18," ",Betrieb!E26)</f>
        <v>Oliver Mustermann Musterdorf</v>
      </c>
      <c r="I10" s="1051"/>
      <c r="J10" s="1051"/>
      <c r="K10" s="1051"/>
      <c r="L10" s="1051"/>
      <c r="M10" s="1051"/>
      <c r="N10" s="625"/>
      <c r="O10" s="625"/>
      <c r="P10" s="625"/>
      <c r="Q10" s="625"/>
      <c r="R10" s="625"/>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1:57" ht="20.100000000000001" customHeight="1" x14ac:dyDescent="0.2">
      <c r="A11" s="21"/>
      <c r="B11" s="625"/>
      <c r="C11" s="1050" t="s">
        <v>603</v>
      </c>
      <c r="D11" s="1050"/>
      <c r="E11" s="1050"/>
      <c r="F11" s="1050"/>
      <c r="G11" s="1050"/>
      <c r="H11" s="1052" t="str">
        <f>Betrieb!E12</f>
        <v>03 123 456 7890</v>
      </c>
      <c r="I11" s="1052"/>
      <c r="J11" s="1052"/>
      <c r="K11" s="1052"/>
      <c r="L11" s="1052"/>
      <c r="M11" s="1052"/>
      <c r="N11" s="625"/>
      <c r="O11" s="625"/>
      <c r="P11" s="625"/>
      <c r="Q11" s="625"/>
      <c r="R11" s="625"/>
      <c r="S11" s="21"/>
      <c r="T11" s="816" t="str">
        <f>IF(Betrieb!$E$14=2018,"02.01.2018","")</f>
        <v/>
      </c>
      <c r="U11" s="816" t="str">
        <f>IF(Betrieb!$E$14=2019,"02.01.2019","")</f>
        <v/>
      </c>
      <c r="V11" s="816" t="str">
        <f>IF(Betrieb!$E$14=2020,"02.01.2020","")</f>
        <v/>
      </c>
      <c r="W11" s="816" t="str">
        <f>IF(Betrieb!$E$14=2021,"02.01.2021","")</f>
        <v/>
      </c>
      <c r="X11" s="816" t="str">
        <f>IF(Betrieb!$E$14=2022,"02.01.2022","")</f>
        <v/>
      </c>
      <c r="Y11" s="816" t="str">
        <f>IF(Betrieb!$E$14=2023,"02.01.2023","")</f>
        <v/>
      </c>
      <c r="Z11" s="816" t="str">
        <f>IF(Betrieb!$E$14=2024,"02.01.2024","")</f>
        <v/>
      </c>
      <c r="AA11" s="816" t="str">
        <f>IF(Betrieb!$E$14=2025,"02.01.2025","")</f>
        <v/>
      </c>
      <c r="AB11" s="816" t="str">
        <f>IF(Betrieb!$E$16=2018,"02.07.2018","")</f>
        <v>02.07.2018</v>
      </c>
      <c r="AC11" s="816" t="str">
        <f>IF(Betrieb!$E$16=2019,"02.07.2019","")</f>
        <v/>
      </c>
      <c r="AD11" s="816" t="str">
        <f>IF(Betrieb!$E$16=2020,"02.07.2020","")</f>
        <v/>
      </c>
      <c r="AE11" s="816" t="str">
        <f>IF(Betrieb!$E$16=2021,"02.07.2021","")</f>
        <v/>
      </c>
      <c r="AF11" s="816" t="str">
        <f>IF(Betrieb!$E$16=2022,"02.07.2022","")</f>
        <v/>
      </c>
      <c r="AG11" s="816" t="str">
        <f>IF(Betrieb!$E$16=2023,"02.07.2023","")</f>
        <v/>
      </c>
      <c r="AH11" s="816" t="str">
        <f>IF(Betrieb!$E$16=2024,"02.07.2024","")</f>
        <v/>
      </c>
      <c r="AI11" s="816" t="str">
        <f>IF(Betrieb!$E$16=2025,"02.07.2025","")</f>
        <v/>
      </c>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57" ht="20.100000000000001" customHeight="1" x14ac:dyDescent="0.2">
      <c r="A12" s="21"/>
      <c r="B12" s="625"/>
      <c r="C12" s="1053" t="s">
        <v>570</v>
      </c>
      <c r="D12" s="1053"/>
      <c r="E12" s="1053"/>
      <c r="F12" s="1053"/>
      <c r="G12" s="1053"/>
      <c r="H12" s="1054">
        <f>AJ12</f>
        <v>43282</v>
      </c>
      <c r="I12" s="1054"/>
      <c r="J12" s="1054"/>
      <c r="K12" s="1054"/>
      <c r="L12" s="1054"/>
      <c r="M12" s="1054"/>
      <c r="N12" s="625"/>
      <c r="O12" s="625"/>
      <c r="P12" s="625"/>
      <c r="Q12" s="625"/>
      <c r="R12" s="625"/>
      <c r="S12" s="21"/>
      <c r="T12" s="817" t="str">
        <f t="shared" ref="T12:AI12" si="0">IF(T11="","",T11-1)</f>
        <v/>
      </c>
      <c r="U12" s="817" t="str">
        <f t="shared" si="0"/>
        <v/>
      </c>
      <c r="V12" s="817" t="str">
        <f t="shared" si="0"/>
        <v/>
      </c>
      <c r="W12" s="817" t="str">
        <f t="shared" si="0"/>
        <v/>
      </c>
      <c r="X12" s="817" t="str">
        <f t="shared" si="0"/>
        <v/>
      </c>
      <c r="Y12" s="817" t="str">
        <f t="shared" si="0"/>
        <v/>
      </c>
      <c r="Z12" s="817" t="str">
        <f t="shared" si="0"/>
        <v/>
      </c>
      <c r="AA12" s="817" t="str">
        <f t="shared" si="0"/>
        <v/>
      </c>
      <c r="AB12" s="817">
        <f t="shared" si="0"/>
        <v>43282</v>
      </c>
      <c r="AC12" s="817" t="str">
        <f t="shared" si="0"/>
        <v/>
      </c>
      <c r="AD12" s="817" t="str">
        <f t="shared" si="0"/>
        <v/>
      </c>
      <c r="AE12" s="817" t="str">
        <f t="shared" si="0"/>
        <v/>
      </c>
      <c r="AF12" s="817" t="str">
        <f t="shared" si="0"/>
        <v/>
      </c>
      <c r="AG12" s="817" t="str">
        <f t="shared" si="0"/>
        <v/>
      </c>
      <c r="AH12" s="817" t="str">
        <f t="shared" si="0"/>
        <v/>
      </c>
      <c r="AI12" s="817" t="str">
        <f t="shared" si="0"/>
        <v/>
      </c>
      <c r="AJ12" s="818">
        <f>SUM(T12:AI12)</f>
        <v>43282</v>
      </c>
      <c r="AK12" s="21"/>
      <c r="AL12" s="21"/>
      <c r="AM12" s="21"/>
      <c r="AN12" s="21"/>
      <c r="AO12" s="21"/>
      <c r="AP12" s="21"/>
      <c r="AQ12" s="21"/>
      <c r="AR12" s="21"/>
      <c r="AS12" s="21"/>
      <c r="AT12" s="21"/>
      <c r="AU12" s="21"/>
      <c r="AV12" s="21"/>
      <c r="AW12" s="21"/>
      <c r="AX12" s="21"/>
      <c r="AY12" s="21"/>
      <c r="AZ12" s="21"/>
      <c r="BA12" s="21"/>
      <c r="BB12" s="21"/>
      <c r="BC12" s="21"/>
      <c r="BD12" s="21"/>
      <c r="BE12" s="21"/>
    </row>
    <row r="13" spans="1:57" ht="20.100000000000001" customHeight="1" x14ac:dyDescent="0.2">
      <c r="A13" s="21"/>
      <c r="B13" s="625"/>
      <c r="C13" s="1053" t="s">
        <v>573</v>
      </c>
      <c r="D13" s="1053"/>
      <c r="E13" s="1053"/>
      <c r="F13" s="1053"/>
      <c r="G13" s="1053"/>
      <c r="H13" s="1054">
        <f>AJ13</f>
        <v>43646</v>
      </c>
      <c r="I13" s="1054"/>
      <c r="J13" s="1054"/>
      <c r="K13" s="1054"/>
      <c r="L13" s="1054"/>
      <c r="M13" s="1054"/>
      <c r="N13" s="625"/>
      <c r="O13" s="625"/>
      <c r="P13" s="625"/>
      <c r="Q13" s="625"/>
      <c r="R13" s="625"/>
      <c r="S13" s="21"/>
      <c r="T13" s="817" t="str">
        <f>IF(T11="","",T12+364)</f>
        <v/>
      </c>
      <c r="U13" s="817" t="str">
        <f>IF(U11="","",U12+364)</f>
        <v/>
      </c>
      <c r="V13" s="817" t="str">
        <f>IF(V11="","",V12+365)</f>
        <v/>
      </c>
      <c r="W13" s="817" t="str">
        <f t="shared" ref="W13:AB13" si="1">IF(W11="","",W12+364)</f>
        <v/>
      </c>
      <c r="X13" s="817" t="str">
        <f t="shared" si="1"/>
        <v/>
      </c>
      <c r="Y13" s="817" t="str">
        <f t="shared" si="1"/>
        <v/>
      </c>
      <c r="Z13" s="817" t="str">
        <f t="shared" si="1"/>
        <v/>
      </c>
      <c r="AA13" s="817" t="str">
        <f t="shared" si="1"/>
        <v/>
      </c>
      <c r="AB13" s="817">
        <f t="shared" si="1"/>
        <v>43646</v>
      </c>
      <c r="AC13" s="817" t="str">
        <f>IF(AC11="","",AC12+365)</f>
        <v/>
      </c>
      <c r="AD13" s="817" t="str">
        <f t="shared" ref="AD13:AI13" si="2">IF(AD11="","",AD12+364)</f>
        <v/>
      </c>
      <c r="AE13" s="817" t="str">
        <f t="shared" si="2"/>
        <v/>
      </c>
      <c r="AF13" s="817" t="str">
        <f t="shared" si="2"/>
        <v/>
      </c>
      <c r="AG13" s="817" t="str">
        <f t="shared" si="2"/>
        <v/>
      </c>
      <c r="AH13" s="817" t="str">
        <f t="shared" si="2"/>
        <v/>
      </c>
      <c r="AI13" s="817" t="str">
        <f t="shared" si="2"/>
        <v/>
      </c>
      <c r="AJ13" s="818">
        <f>SUM(T13:AI13)</f>
        <v>43646</v>
      </c>
      <c r="AK13" s="21"/>
      <c r="AL13" s="21"/>
      <c r="AM13" s="21"/>
      <c r="AN13" s="21"/>
      <c r="AO13" s="21"/>
      <c r="AP13" s="21"/>
      <c r="AQ13" s="21"/>
      <c r="AR13" s="21"/>
      <c r="AS13" s="21"/>
      <c r="AT13" s="21"/>
      <c r="AU13" s="21"/>
      <c r="AV13" s="21"/>
      <c r="AW13" s="21"/>
      <c r="AX13" s="21"/>
      <c r="AY13" s="21"/>
      <c r="AZ13" s="21"/>
      <c r="BA13" s="21"/>
      <c r="BB13" s="21"/>
      <c r="BC13" s="21"/>
      <c r="BD13" s="21"/>
      <c r="BE13" s="21"/>
    </row>
    <row r="14" spans="1:57" ht="20.100000000000001" customHeight="1" x14ac:dyDescent="0.2">
      <c r="A14" s="21"/>
      <c r="B14" s="625"/>
      <c r="C14" s="1055" t="s">
        <v>576</v>
      </c>
      <c r="D14" s="1055"/>
      <c r="E14" s="1055"/>
      <c r="F14" s="1055"/>
      <c r="G14" s="1055"/>
      <c r="H14" s="1056">
        <f ca="1">TODAY()</f>
        <v>43909</v>
      </c>
      <c r="I14" s="1056"/>
      <c r="J14" s="1056"/>
      <c r="K14" s="1056"/>
      <c r="L14" s="1056"/>
      <c r="M14" s="1056"/>
      <c r="N14" s="625"/>
      <c r="O14" s="625"/>
      <c r="P14" s="625"/>
      <c r="Q14" s="625"/>
      <c r="R14" s="625"/>
      <c r="S14" s="21"/>
      <c r="T14" s="21"/>
      <c r="U14" s="21"/>
      <c r="V14" s="21"/>
      <c r="W14" s="21"/>
      <c r="X14" s="21"/>
      <c r="Y14" s="21"/>
      <c r="Z14" s="21"/>
      <c r="AA14" s="21"/>
      <c r="AB14" s="816"/>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row>
    <row r="15" spans="1:57" ht="27.75" customHeight="1" x14ac:dyDescent="0.25">
      <c r="A15" s="21"/>
      <c r="B15" s="625"/>
      <c r="C15" s="625"/>
      <c r="D15" s="625"/>
      <c r="E15" s="625"/>
      <c r="F15" s="625"/>
      <c r="G15" s="625"/>
      <c r="H15" s="625"/>
      <c r="I15" s="625"/>
      <c r="J15" s="625"/>
      <c r="K15" s="625"/>
      <c r="L15" s="625"/>
      <c r="M15" s="625"/>
      <c r="N15" s="625"/>
      <c r="O15" s="819"/>
      <c r="P15" s="820"/>
      <c r="Q15" s="820"/>
      <c r="R15" s="625"/>
      <c r="S15" s="21"/>
      <c r="T15" s="1057"/>
      <c r="U15" s="1057"/>
      <c r="V15" s="1057"/>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1:57" ht="20.100000000000001" customHeight="1" x14ac:dyDescent="0.25">
      <c r="A16" s="21"/>
      <c r="B16" s="625"/>
      <c r="C16" s="625"/>
      <c r="D16" s="625"/>
      <c r="E16" s="625"/>
      <c r="F16" s="625"/>
      <c r="G16" s="1058" t="s">
        <v>604</v>
      </c>
      <c r="H16" s="1058"/>
      <c r="I16" s="1058"/>
      <c r="J16" s="1058"/>
      <c r="K16" s="1058"/>
      <c r="L16" s="1058"/>
      <c r="M16" s="1058"/>
      <c r="N16" s="1058"/>
      <c r="O16" s="1059" t="s">
        <v>605</v>
      </c>
      <c r="P16" s="1059"/>
      <c r="Q16" s="1059"/>
      <c r="R16" s="625"/>
      <c r="S16" s="21"/>
      <c r="T16" s="1057"/>
      <c r="U16" s="1057"/>
      <c r="V16" s="1057"/>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row>
    <row r="17" spans="1:57" ht="33" customHeight="1" x14ac:dyDescent="0.25">
      <c r="A17" s="21"/>
      <c r="B17" s="625"/>
      <c r="C17" s="625"/>
      <c r="D17" s="625"/>
      <c r="E17" s="625"/>
      <c r="F17" s="625"/>
      <c r="G17" s="819"/>
      <c r="H17" s="819"/>
      <c r="I17" s="819"/>
      <c r="J17" s="1060" t="s">
        <v>606</v>
      </c>
      <c r="K17" s="1060" t="s">
        <v>607</v>
      </c>
      <c r="L17" s="1060" t="s">
        <v>608</v>
      </c>
      <c r="M17" s="1061" t="s">
        <v>609</v>
      </c>
      <c r="N17" s="1061" t="s">
        <v>610</v>
      </c>
      <c r="O17" s="1059"/>
      <c r="P17" s="1059"/>
      <c r="Q17" s="1059"/>
      <c r="R17" s="625"/>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row>
    <row r="18" spans="1:57" ht="18" customHeight="1" x14ac:dyDescent="0.2">
      <c r="A18" s="21"/>
      <c r="B18" s="625"/>
      <c r="C18" s="821"/>
      <c r="D18" s="822" t="s">
        <v>611</v>
      </c>
      <c r="E18" s="822" t="s">
        <v>612</v>
      </c>
      <c r="F18" s="823" t="s">
        <v>140</v>
      </c>
      <c r="G18" s="824" t="s">
        <v>96</v>
      </c>
      <c r="H18" s="822" t="s">
        <v>578</v>
      </c>
      <c r="I18" s="825" t="s">
        <v>613</v>
      </c>
      <c r="J18" s="1060"/>
      <c r="K18" s="1060"/>
      <c r="L18" s="1060"/>
      <c r="M18" s="1061"/>
      <c r="N18" s="1061"/>
      <c r="O18" s="824" t="s">
        <v>96</v>
      </c>
      <c r="P18" s="822" t="s">
        <v>578</v>
      </c>
      <c r="Q18" s="822" t="s">
        <v>613</v>
      </c>
      <c r="R18" s="625"/>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20.100000000000001" customHeight="1" x14ac:dyDescent="0.2">
      <c r="A19" s="21"/>
      <c r="B19" s="625"/>
      <c r="C19" s="826" t="s">
        <v>614</v>
      </c>
      <c r="D19" s="827" t="str">
        <f>IF(Eingabebereich!P3="",Eingabebereich!O3-2,CONCATENATE(Eingabebereich!O3-2,"/",Eingabebereich!P3-2))</f>
        <v>2016/2017</v>
      </c>
      <c r="E19" s="905"/>
      <c r="F19" s="828"/>
      <c r="G19" s="829"/>
      <c r="H19" s="830"/>
      <c r="I19" s="831" t="str">
        <f>IF(G19="","",IF(H19="","",G19-H19))</f>
        <v/>
      </c>
      <c r="J19" s="832" t="str">
        <f>IF(I19="","",IF(E19="","",I19/E19))</f>
        <v/>
      </c>
      <c r="K19" s="831" t="str">
        <f>IF(E19="","",IF(L19="","",E19*175))</f>
        <v/>
      </c>
      <c r="L19" s="832" t="str">
        <f>IF(I19="","",175)</f>
        <v/>
      </c>
      <c r="M19" s="831" t="str">
        <f>IF(I19="","",IF(K19="","",I19-K19))</f>
        <v/>
      </c>
      <c r="N19" s="833" t="str">
        <f>IF(M19="","",IF(K19="","",M19/K19))</f>
        <v/>
      </c>
      <c r="O19" s="829"/>
      <c r="P19" s="830"/>
      <c r="Q19" s="831" t="str">
        <f>IF(O19="","",IF(P19="","",O19-P19))</f>
        <v/>
      </c>
      <c r="R19" s="625"/>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20.100000000000001" customHeight="1" x14ac:dyDescent="0.2">
      <c r="A20" s="21"/>
      <c r="B20" s="625"/>
      <c r="C20" s="826" t="s">
        <v>615</v>
      </c>
      <c r="D20" s="827" t="str">
        <f>IF(Eingabebereich!P3="",Eingabebereich!O3-1,CONCATENATE(Eingabebereich!O3-1,"/",Eingabebereich!P3-1))</f>
        <v>2017/2018</v>
      </c>
      <c r="E20" s="906"/>
      <c r="F20" s="834"/>
      <c r="G20" s="835"/>
      <c r="H20" s="836"/>
      <c r="I20" s="831" t="str">
        <f>IF(G20="","",IF(H20="","",G20-H20))</f>
        <v/>
      </c>
      <c r="J20" s="832" t="str">
        <f>IF(I20="","",IF(E20="","",I20/E20))</f>
        <v/>
      </c>
      <c r="K20" s="831" t="str">
        <f>IF(E20="","",IF(L20="","",E20*175))</f>
        <v/>
      </c>
      <c r="L20" s="832" t="str">
        <f>IF(I20="","",175)</f>
        <v/>
      </c>
      <c r="M20" s="831" t="str">
        <f>IF(I20="","",IF(K20="","",I20-K20))</f>
        <v/>
      </c>
      <c r="N20" s="833" t="str">
        <f>IF(M20="","",IF(K20="","",M20/K20))</f>
        <v/>
      </c>
      <c r="O20" s="835"/>
      <c r="P20" s="836"/>
      <c r="Q20" s="831" t="str">
        <f>IF(O20="","",IF(P20="","",O20-P20))</f>
        <v/>
      </c>
      <c r="R20" s="625"/>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row>
    <row r="21" spans="1:57" ht="20.100000000000001" customHeight="1" x14ac:dyDescent="0.2">
      <c r="A21" s="21"/>
      <c r="B21" s="625"/>
      <c r="C21" s="826" t="s">
        <v>616</v>
      </c>
      <c r="D21" s="827" t="str">
        <f>IF(Eingabebereich!P3="",Eingabebereich!O3,CONCATENATE(Eingabebereich!O3,"/",Eingabebereich!P3))</f>
        <v>2018/2019</v>
      </c>
      <c r="E21" s="827">
        <f>Betrieb!F28</f>
        <v>30.81</v>
      </c>
      <c r="F21" s="837">
        <f>Berechnung_GVE!F58</f>
        <v>36</v>
      </c>
      <c r="G21" s="838">
        <f>jaehrliche_Bilanz_Stickstoff!F31</f>
        <v>13347.75</v>
      </c>
      <c r="H21" s="839">
        <f>jaehrliche_Bilanz_Stickstoff!I31</f>
        <v>9664.35</v>
      </c>
      <c r="I21" s="831">
        <f>G21-H21</f>
        <v>3683.3999999999996</v>
      </c>
      <c r="J21" s="832">
        <f>IF(I21="","",IF(E21="","",I21/E21))</f>
        <v>119.55209347614411</v>
      </c>
      <c r="K21" s="831">
        <f>IF(E21="","",IF(L21="","",E21*175))</f>
        <v>5391.75</v>
      </c>
      <c r="L21" s="832">
        <f>IF(I21="","",175)</f>
        <v>175</v>
      </c>
      <c r="M21" s="831">
        <f>IF(I21="","",IF(K21="","",I21-K21))</f>
        <v>-1708.3500000000004</v>
      </c>
      <c r="N21" s="840">
        <f>IF(M21="","",IF(K21="","",M21/K21))</f>
        <v>-0.31684518013631946</v>
      </c>
      <c r="O21" s="838">
        <f>jaehrliche_Bilanz_Phosphor!F31</f>
        <v>5393.8249999999998</v>
      </c>
      <c r="P21" s="831">
        <f>jaehrliche_Bilanz_Phosphor!I31</f>
        <v>4696.125</v>
      </c>
      <c r="Q21" s="831">
        <f>IF(O21="","",IF(P21="","",O21-P21))</f>
        <v>697.69999999999982</v>
      </c>
      <c r="R21" s="625"/>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ht="20.100000000000001" customHeight="1" x14ac:dyDescent="0.2">
      <c r="A22" s="21"/>
      <c r="B22" s="625"/>
      <c r="C22" s="1063" t="s">
        <v>617</v>
      </c>
      <c r="D22" s="1063"/>
      <c r="E22" s="841">
        <f>IF(E20="",E21,IF(E19="",SUM(E20:E21)/2,SUM(E19:E21)/3))</f>
        <v>30.81</v>
      </c>
      <c r="F22" s="842">
        <f>IF(F20="",F21,IF(F19="",SUM(F20:F21)/2,SUM(F19:F21)/3))</f>
        <v>36</v>
      </c>
      <c r="G22" s="843">
        <f>IF(G20="",G21,IF(G19="",SUM(G20:G21)/2,SUM(G19:G21)/3))</f>
        <v>13347.75</v>
      </c>
      <c r="H22" s="844">
        <f>IF(H20="",H21,IF(H19="",SUM(H20:H21)/2,SUM(H19:H21)/3))</f>
        <v>9664.35</v>
      </c>
      <c r="I22" s="844">
        <f>IF(I20="",I21,IF(I19="",SUM(I20:I21)/2,SUM(I19:I21)/3))</f>
        <v>3683.3999999999996</v>
      </c>
      <c r="J22" s="842">
        <f>IF(I22="","",IF(E22="","",I22/E22))</f>
        <v>119.55209347614411</v>
      </c>
      <c r="K22" s="844">
        <f>IF(E22="","",IF(I22="","",IF(L22="","",L22*E22)))</f>
        <v>5391.75</v>
      </c>
      <c r="L22" s="845">
        <f>IF(E22="","",IF(I22="","",175))</f>
        <v>175</v>
      </c>
      <c r="M22" s="844">
        <f>IF(M20="",M21,IF(M19="",SUM(M20:M21)/2,SUM(M19:M21)/3))</f>
        <v>-1708.3500000000004</v>
      </c>
      <c r="N22" s="846">
        <f>IF(K22="","",IF(M22="","",M22/K22))</f>
        <v>-0.31684518013631946</v>
      </c>
      <c r="O22" s="847">
        <f>IF(O20="",O21,IF(O19="",SUM(O20:O21)/2,SUM(O19:O21)/3))</f>
        <v>5393.8249999999998</v>
      </c>
      <c r="P22" s="844">
        <f>IF(P20="",P21,IF(P19="",SUM(P20:P21)/2,SUM(P19:P21)/3))</f>
        <v>4696.125</v>
      </c>
      <c r="Q22" s="844">
        <f>IF(Q20="",Q21,IF(Q19="",SUM(Q20:Q21)/2,SUM(Q19:Q21)/3))</f>
        <v>697.69999999999982</v>
      </c>
      <c r="R22" s="625"/>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15" customHeight="1" x14ac:dyDescent="0.2">
      <c r="A23" s="21"/>
      <c r="B23" s="625"/>
      <c r="C23" s="848"/>
      <c r="D23" s="849"/>
      <c r="E23" s="849"/>
      <c r="F23" s="849"/>
      <c r="G23" s="849"/>
      <c r="H23" s="849"/>
      <c r="I23" s="849"/>
      <c r="J23" s="849"/>
      <c r="K23" s="849"/>
      <c r="L23" s="849"/>
      <c r="M23" s="849"/>
      <c r="N23" s="849"/>
      <c r="O23" s="849"/>
      <c r="P23" s="849"/>
      <c r="Q23" s="849"/>
      <c r="R23" s="625"/>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7" ht="15" customHeight="1" x14ac:dyDescent="0.2">
      <c r="A24" s="21"/>
      <c r="B24" s="625"/>
      <c r="C24" s="625"/>
      <c r="D24" s="625"/>
      <c r="E24" s="625"/>
      <c r="F24" s="625"/>
      <c r="G24" s="625"/>
      <c r="H24" s="625"/>
      <c r="I24" s="625"/>
      <c r="J24" s="625"/>
      <c r="K24" s="625"/>
      <c r="L24" s="625"/>
      <c r="M24" s="625"/>
      <c r="N24" s="625"/>
      <c r="O24" s="625"/>
      <c r="P24" s="625"/>
      <c r="Q24" s="625"/>
      <c r="R24" s="625"/>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7" ht="15" customHeight="1" x14ac:dyDescent="0.2">
      <c r="A25" s="21"/>
      <c r="B25" s="625"/>
      <c r="C25" s="625"/>
      <c r="D25" s="1064"/>
      <c r="E25" s="1064"/>
      <c r="F25" s="1064"/>
      <c r="G25" s="1064"/>
      <c r="H25" s="1064"/>
      <c r="I25" s="1064"/>
      <c r="J25" s="1064"/>
      <c r="K25" s="1064"/>
      <c r="L25" s="1064"/>
      <c r="M25" s="1064"/>
      <c r="N25" s="1064"/>
      <c r="O25" s="1064"/>
      <c r="P25" s="1064"/>
      <c r="Q25" s="1064"/>
      <c r="R25" s="625"/>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row>
    <row r="26" spans="1:57" ht="15" customHeight="1" x14ac:dyDescent="0.2">
      <c r="A26" s="21"/>
      <c r="B26" s="625"/>
      <c r="C26" s="1065" t="str">
        <f>IF(J22&gt;L22,"Achtung: Zulässiger Betriebsdurchschnitt für Stickstoff überschritten!","")</f>
        <v/>
      </c>
      <c r="D26" s="1065"/>
      <c r="E26" s="1065"/>
      <c r="F26" s="1065"/>
      <c r="G26" s="1065"/>
      <c r="H26" s="1065"/>
      <c r="I26" s="1065"/>
      <c r="J26" s="1065"/>
      <c r="K26" s="1065"/>
      <c r="L26" s="1065"/>
      <c r="M26" s="1065"/>
      <c r="N26" s="1065"/>
      <c r="O26" s="1065"/>
      <c r="P26" s="1065"/>
      <c r="Q26" s="1065"/>
      <c r="R26" s="625"/>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row>
    <row r="27" spans="1:57" ht="15" customHeight="1" x14ac:dyDescent="0.2">
      <c r="A27" s="21"/>
      <c r="B27" s="625"/>
      <c r="C27" s="625"/>
      <c r="D27" s="1066"/>
      <c r="E27" s="1066"/>
      <c r="F27" s="1066"/>
      <c r="G27" s="1066"/>
      <c r="H27" s="1066"/>
      <c r="I27" s="1066"/>
      <c r="J27" s="1066"/>
      <c r="K27" s="1066"/>
      <c r="L27" s="1066"/>
      <c r="M27" s="1066"/>
      <c r="N27" s="1066"/>
      <c r="O27" s="1066"/>
      <c r="P27" s="1066"/>
      <c r="Q27" s="1066"/>
      <c r="R27" s="625"/>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row>
    <row r="28" spans="1:57" ht="15" customHeight="1" x14ac:dyDescent="0.2">
      <c r="A28" s="21"/>
      <c r="B28" s="625"/>
      <c r="C28" s="625"/>
      <c r="D28" s="1066"/>
      <c r="E28" s="1066"/>
      <c r="F28" s="1066"/>
      <c r="G28" s="1066"/>
      <c r="H28" s="1066"/>
      <c r="I28" s="1066"/>
      <c r="J28" s="1066"/>
      <c r="K28" s="1066"/>
      <c r="L28" s="1066"/>
      <c r="M28" s="1066"/>
      <c r="N28" s="1066"/>
      <c r="O28" s="1066"/>
      <c r="P28" s="1066"/>
      <c r="Q28" s="1066"/>
      <c r="R28" s="625"/>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row>
    <row r="29" spans="1:57" ht="15" customHeight="1" x14ac:dyDescent="0.2">
      <c r="A29" s="21"/>
      <c r="B29" s="625"/>
      <c r="C29" s="625"/>
      <c r="D29" s="850"/>
      <c r="E29" s="625"/>
      <c r="F29" s="625"/>
      <c r="G29" s="625"/>
      <c r="H29" s="625"/>
      <c r="I29" s="625"/>
      <c r="J29" s="625"/>
      <c r="K29" s="625"/>
      <c r="L29" s="625"/>
      <c r="M29" s="625"/>
      <c r="N29" s="625"/>
      <c r="O29" s="625"/>
      <c r="P29" s="625"/>
      <c r="Q29" s="625"/>
      <c r="R29" s="625"/>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1:57" ht="15" customHeight="1" x14ac:dyDescent="0.2">
      <c r="A30" s="21"/>
      <c r="B30" s="625"/>
      <c r="C30" s="625"/>
      <c r="D30" s="625"/>
      <c r="E30" s="625"/>
      <c r="F30" s="625"/>
      <c r="G30" s="1062" t="str">
        <f>Betrieb!$D$33</f>
        <v>Version 2019    von Heinrich - Bernhard Münzebrock</v>
      </c>
      <c r="H30" s="1062"/>
      <c r="I30" s="1062"/>
      <c r="J30" s="1062"/>
      <c r="K30" s="1062"/>
      <c r="L30" s="1062"/>
      <c r="M30" s="1062"/>
      <c r="N30" s="625"/>
      <c r="O30" s="625"/>
      <c r="P30" s="625"/>
      <c r="Q30" s="625"/>
      <c r="R30" s="625"/>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1:57" ht="15" customHeight="1" x14ac:dyDescent="0.2">
      <c r="A31" s="21"/>
      <c r="B31" s="625"/>
      <c r="C31" s="625"/>
      <c r="D31" s="625"/>
      <c r="E31" s="625"/>
      <c r="F31" s="625"/>
      <c r="G31" s="625"/>
      <c r="H31" s="625"/>
      <c r="I31" s="625"/>
      <c r="J31" s="625"/>
      <c r="K31" s="625"/>
      <c r="L31" s="625"/>
      <c r="M31" s="625"/>
      <c r="N31" s="625"/>
      <c r="O31" s="625"/>
      <c r="P31" s="625"/>
      <c r="Q31" s="625"/>
      <c r="R31" s="625"/>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7" ht="18"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1:57" ht="18"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1:57" ht="18" customHeight="1"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1:57"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1:57" x14ac:dyDescent="0.2">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1:57"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7" x14ac:dyDescent="0.2">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1:57" x14ac:dyDescent="0.2">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row>
    <row r="40" spans="1:57" x14ac:dyDescent="0.2">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1:57" x14ac:dyDescent="0.2">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7" x14ac:dyDescent="0.2">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row>
    <row r="43" spans="1:57"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row>
    <row r="44" spans="1:57" x14ac:dyDescent="0.2">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7"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row>
    <row r="46" spans="1:57"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row>
    <row r="47" spans="1:57" x14ac:dyDescent="0.2">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row>
    <row r="48" spans="1:57"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row>
    <row r="49" spans="1:57"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row>
    <row r="50" spans="1:57"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row>
    <row r="51" spans="1:57"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row>
    <row r="52" spans="1:57"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row>
    <row r="53" spans="1:57"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row>
    <row r="54" spans="1:57"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row>
    <row r="55" spans="1:57"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row>
    <row r="56" spans="1:57"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row>
    <row r="57" spans="1:57"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57"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row>
    <row r="59" spans="1:57"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row>
    <row r="60" spans="1:57"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row>
    <row r="61" spans="1:57"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row>
    <row r="62" spans="1:57"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row>
    <row r="63" spans="1:57"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row>
    <row r="64" spans="1:57"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row>
    <row r="65" spans="1:57"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row>
    <row r="67" spans="1:57"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row>
    <row r="68" spans="1:57"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row>
    <row r="70" spans="1:57" x14ac:dyDescent="0.2">
      <c r="A70" s="50"/>
      <c r="B70" s="50"/>
      <c r="C70" s="50"/>
      <c r="D70" s="50"/>
      <c r="E70" s="50"/>
      <c r="F70" s="50"/>
      <c r="G70" s="50"/>
      <c r="H70" s="50"/>
      <c r="I70" s="50"/>
      <c r="J70" s="50"/>
      <c r="K70" s="50"/>
      <c r="L70" s="50"/>
      <c r="M70" s="50"/>
      <c r="N70" s="50"/>
      <c r="O70" s="50"/>
      <c r="P70" s="50"/>
      <c r="Q70" s="50"/>
      <c r="R70" s="50"/>
      <c r="S70" s="50"/>
      <c r="T70" s="50"/>
      <c r="U70" s="50"/>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row>
    <row r="71" spans="1:57" x14ac:dyDescent="0.2">
      <c r="A71" s="50"/>
      <c r="B71" s="50"/>
      <c r="C71" s="50"/>
      <c r="D71" s="50"/>
      <c r="E71" s="50"/>
      <c r="F71" s="50"/>
      <c r="G71" s="50"/>
      <c r="H71" s="50"/>
      <c r="I71" s="50"/>
      <c r="J71" s="50"/>
      <c r="K71" s="50"/>
      <c r="L71" s="50"/>
      <c r="M71" s="50"/>
      <c r="N71" s="50"/>
      <c r="O71" s="50"/>
      <c r="P71" s="50"/>
      <c r="Q71" s="50"/>
      <c r="R71" s="50"/>
      <c r="S71" s="50"/>
      <c r="T71" s="50"/>
      <c r="U71" s="50"/>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row>
    <row r="72" spans="1:57" x14ac:dyDescent="0.2">
      <c r="A72" s="50"/>
      <c r="B72" s="50"/>
      <c r="C72" s="50"/>
      <c r="D72" s="50"/>
      <c r="E72" s="50"/>
      <c r="F72" s="50"/>
      <c r="G72" s="50"/>
      <c r="H72" s="50"/>
      <c r="I72" s="50"/>
      <c r="J72" s="50"/>
      <c r="K72" s="50"/>
      <c r="L72" s="50"/>
      <c r="M72" s="50"/>
      <c r="N72" s="50"/>
      <c r="O72" s="50"/>
      <c r="P72" s="50"/>
      <c r="Q72" s="50"/>
      <c r="R72" s="50"/>
      <c r="S72" s="50"/>
      <c r="T72" s="50"/>
      <c r="U72" s="50"/>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row>
    <row r="73" spans="1:57" x14ac:dyDescent="0.2">
      <c r="A73" s="51"/>
      <c r="B73" s="50"/>
      <c r="C73" s="50"/>
      <c r="D73" s="50"/>
      <c r="E73" s="50"/>
      <c r="F73" s="50"/>
      <c r="G73" s="50"/>
      <c r="H73" s="51"/>
      <c r="I73" s="50"/>
      <c r="J73" s="50"/>
      <c r="K73" s="50"/>
      <c r="L73" s="50"/>
      <c r="M73" s="50"/>
      <c r="N73" s="50"/>
      <c r="O73" s="51"/>
      <c r="P73" s="50"/>
      <c r="Q73" s="50"/>
      <c r="R73" s="50"/>
      <c r="S73" s="50"/>
      <c r="T73" s="50"/>
      <c r="U73" s="50"/>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row>
    <row r="74" spans="1:57" x14ac:dyDescent="0.2">
      <c r="A74" s="51"/>
      <c r="B74" s="51"/>
      <c r="C74" s="51"/>
      <c r="D74" s="51"/>
      <c r="E74" s="51"/>
      <c r="F74" s="51"/>
      <c r="G74" s="51"/>
      <c r="H74" s="51"/>
      <c r="I74" s="51"/>
      <c r="J74" s="51"/>
      <c r="K74" s="51"/>
      <c r="L74" s="51"/>
      <c r="M74" s="51"/>
      <c r="N74" s="51"/>
      <c r="O74" s="51"/>
      <c r="P74" s="51"/>
      <c r="Q74" s="51"/>
      <c r="R74" s="51"/>
      <c r="S74" s="51"/>
      <c r="T74" s="51"/>
      <c r="U74" s="5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row>
    <row r="75" spans="1:57" x14ac:dyDescent="0.2">
      <c r="A75" s="51"/>
      <c r="B75" s="51"/>
      <c r="C75" s="51"/>
      <c r="D75" s="51"/>
      <c r="E75" s="51"/>
      <c r="F75" s="51"/>
      <c r="G75" s="51"/>
      <c r="H75" s="51"/>
      <c r="I75" s="51"/>
      <c r="J75" s="51"/>
      <c r="K75" s="51"/>
      <c r="L75" s="51"/>
      <c r="M75" s="51"/>
      <c r="N75" s="51"/>
      <c r="O75" s="51"/>
      <c r="P75" s="51"/>
      <c r="Q75" s="51"/>
      <c r="R75" s="51"/>
      <c r="S75" s="51"/>
      <c r="T75" s="51"/>
      <c r="U75" s="5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row>
    <row r="76" spans="1:57" x14ac:dyDescent="0.2">
      <c r="A76" s="51"/>
      <c r="B76" s="51"/>
      <c r="C76" s="51"/>
      <c r="D76" s="51"/>
      <c r="E76" s="51"/>
      <c r="F76" s="51"/>
      <c r="G76" s="51"/>
      <c r="H76" s="51"/>
      <c r="I76" s="51"/>
      <c r="J76" s="51"/>
      <c r="K76" s="51"/>
      <c r="L76" s="51"/>
      <c r="M76" s="51"/>
      <c r="N76" s="51"/>
      <c r="O76" s="51"/>
      <c r="P76" s="51"/>
      <c r="Q76" s="51"/>
      <c r="R76" s="51"/>
      <c r="S76" s="51"/>
      <c r="T76" s="51"/>
      <c r="U76" s="5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row>
    <row r="77" spans="1:57"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row>
    <row r="78" spans="1:57"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row>
    <row r="79" spans="1:57"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row>
    <row r="80" spans="1:57"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row>
    <row r="81" spans="1:57"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row>
    <row r="82" spans="1:57"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row>
    <row r="83" spans="1:57"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row>
    <row r="84" spans="1:57"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row>
    <row r="85" spans="1:57"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row>
    <row r="86" spans="1:57"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row>
    <row r="87" spans="1:57"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row>
    <row r="88" spans="1:57"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row>
    <row r="89" spans="1:57"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row>
    <row r="90" spans="1:57"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row>
    <row r="91" spans="1:57"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row>
    <row r="92" spans="1:57"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row>
    <row r="93" spans="1:57"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row>
    <row r="94" spans="1:57"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row>
    <row r="95" spans="1:57"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row>
    <row r="96" spans="1:57"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row>
    <row r="97" spans="1:57"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row>
    <row r="98" spans="1:57"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row>
    <row r="99" spans="1:57"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row>
    <row r="100" spans="1:57"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row>
    <row r="101" spans="1:57"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row>
    <row r="102" spans="1:57"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row>
    <row r="103" spans="1:57"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row>
    <row r="104" spans="1:57"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row>
    <row r="105" spans="1:57"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row>
    <row r="106" spans="1:57"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row>
    <row r="107" spans="1:57"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row>
    <row r="108" spans="1:57"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row>
    <row r="109" spans="1:57"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row>
    <row r="110" spans="1:57"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row>
    <row r="111" spans="1:57"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row>
    <row r="112" spans="1:57"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row>
    <row r="113" spans="1:57"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row>
    <row r="114" spans="1:57"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row>
    <row r="115" spans="1:57"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row>
    <row r="116" spans="1:57"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row>
    <row r="117" spans="1:57"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row>
    <row r="118" spans="1:57"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row>
    <row r="119" spans="1:57"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row>
    <row r="120" spans="1:57"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row>
    <row r="121" spans="1:57"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row>
    <row r="122" spans="1:57"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row>
    <row r="123" spans="1:57"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row>
    <row r="124" spans="1:57"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row>
    <row r="125" spans="1:57"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row>
    <row r="126" spans="1:57"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row>
    <row r="127" spans="1:57"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row>
    <row r="128" spans="1:57"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row>
    <row r="129" spans="1:57"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row>
    <row r="130" spans="1:57"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row>
    <row r="131" spans="1:57"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row>
    <row r="132" spans="1:57"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row>
    <row r="133" spans="1:57"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row>
    <row r="134" spans="1:57"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row>
    <row r="135" spans="1:57"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row>
    <row r="136" spans="1:57"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row>
    <row r="137" spans="1:57"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row>
    <row r="138" spans="1:57"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row>
    <row r="139" spans="1:57"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row>
    <row r="140" spans="1:57"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row>
    <row r="141" spans="1:57"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row>
  </sheetData>
  <sheetProtection algorithmName="SHA-512" hashValue="kkVAYilXk2aIf5uijPTpK/mZClQ1OW2vIvc2aaycpof6jk4f4HBEuBLFJNJqFJFv2SgcQ637QtOAGxefREn5/g==" saltValue="xxsJYSi2mG8ESCh7WPwIzw==" spinCount="100000" sheet="1" objects="1" scenarios="1"/>
  <mergeCells count="25">
    <mergeCell ref="G30:M30"/>
    <mergeCell ref="C22:D22"/>
    <mergeCell ref="D25:Q25"/>
    <mergeCell ref="C26:Q26"/>
    <mergeCell ref="D27:Q27"/>
    <mergeCell ref="D28:Q28"/>
    <mergeCell ref="T15:V16"/>
    <mergeCell ref="G16:N16"/>
    <mergeCell ref="O16:Q17"/>
    <mergeCell ref="J17:J18"/>
    <mergeCell ref="K17:K18"/>
    <mergeCell ref="L17:L18"/>
    <mergeCell ref="M17:M18"/>
    <mergeCell ref="N17:N18"/>
    <mergeCell ref="C12:G12"/>
    <mergeCell ref="H12:M12"/>
    <mergeCell ref="C13:G13"/>
    <mergeCell ref="H13:M13"/>
    <mergeCell ref="C14:G14"/>
    <mergeCell ref="H14:M14"/>
    <mergeCell ref="C8:Q8"/>
    <mergeCell ref="C10:G10"/>
    <mergeCell ref="H10:M10"/>
    <mergeCell ref="C11:G11"/>
    <mergeCell ref="H11:M11"/>
  </mergeCells>
  <pageMargins left="0" right="0" top="0.78740157480314965" bottom="0.78740157480314965" header="0.51181102362204722" footer="0.51181102362204722"/>
  <pageSetup paperSize="9" scale="83" firstPageNumber="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W103"/>
  <sheetViews>
    <sheetView showRowColHeaders="0" zoomScaleNormal="100" workbookViewId="0">
      <selection activeCell="E54" sqref="E54:E56"/>
    </sheetView>
  </sheetViews>
  <sheetFormatPr baseColWidth="10" defaultColWidth="9.140625" defaultRowHeight="12.75" x14ac:dyDescent="0.2"/>
  <cols>
    <col min="1" max="1" width="4.5703125" style="51"/>
    <col min="2" max="2" width="4.7109375" style="51"/>
    <col min="3" max="3" width="51.28515625" style="51"/>
    <col min="4" max="4" width="11.28515625" style="51"/>
    <col min="5" max="5" width="11.42578125" style="51"/>
    <col min="6" max="6" width="16.7109375" style="51"/>
    <col min="7" max="7" width="4.140625" style="51"/>
    <col min="8" max="257" width="11.42578125" style="51"/>
    <col min="258" max="1025" width="11.42578125"/>
  </cols>
  <sheetData>
    <row r="1" spans="1:57" ht="18.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2" spans="1:57" ht="18.75" customHeight="1" x14ac:dyDescent="0.2">
      <c r="A2" s="50"/>
      <c r="B2" s="851"/>
      <c r="C2" s="851"/>
      <c r="D2" s="851"/>
      <c r="E2" s="851"/>
      <c r="F2" s="851"/>
      <c r="G2" s="851"/>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1:57" ht="34.5" customHeight="1" x14ac:dyDescent="0.35">
      <c r="A3" s="50"/>
      <c r="B3" s="852"/>
      <c r="C3" s="1067" t="s">
        <v>618</v>
      </c>
      <c r="D3" s="1067"/>
      <c r="E3" s="1067"/>
      <c r="F3" s="1067"/>
      <c r="G3" s="851"/>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ht="19.5" customHeight="1" x14ac:dyDescent="0.25">
      <c r="A4" s="50"/>
      <c r="B4" s="853"/>
      <c r="C4" s="1068" t="str">
        <f>CONCATENATE("Betrieb: ",Betrieb!E20," ",Betrieb!E18," ",Betrieb!E26)</f>
        <v>Betrieb: Oliver Mustermann Musterdorf</v>
      </c>
      <c r="D4" s="1068"/>
      <c r="E4" s="1068"/>
      <c r="F4" s="1068"/>
      <c r="G4" s="851"/>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row>
    <row r="5" spans="1:57" ht="29.25" customHeight="1" x14ac:dyDescent="0.2">
      <c r="A5" s="50"/>
      <c r="B5" s="853"/>
      <c r="C5" s="854" t="s">
        <v>619</v>
      </c>
      <c r="D5" s="855" t="s">
        <v>620</v>
      </c>
      <c r="E5" s="856" t="s">
        <v>621</v>
      </c>
      <c r="F5" s="856" t="s">
        <v>622</v>
      </c>
      <c r="G5" s="851"/>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ht="18" hidden="1" customHeight="1" x14ac:dyDescent="0.2">
      <c r="A6" s="50"/>
      <c r="B6" s="853"/>
      <c r="C6" s="857" t="s">
        <v>623</v>
      </c>
      <c r="D6" s="858" t="s">
        <v>624</v>
      </c>
      <c r="E6" s="859" t="s">
        <v>625</v>
      </c>
      <c r="F6" s="860" t="s">
        <v>626</v>
      </c>
      <c r="G6" s="851"/>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row>
    <row r="7" spans="1:57" ht="17.100000000000001" customHeight="1" x14ac:dyDescent="0.2">
      <c r="A7" s="50"/>
      <c r="B7" s="853"/>
      <c r="C7" s="861" t="s">
        <v>627</v>
      </c>
      <c r="D7" s="862">
        <v>0.3</v>
      </c>
      <c r="E7" s="910"/>
      <c r="F7" s="863">
        <f>E7*D7</f>
        <v>0</v>
      </c>
      <c r="G7" s="851"/>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row>
    <row r="8" spans="1:57" ht="17.100000000000001" customHeight="1" x14ac:dyDescent="0.2">
      <c r="A8" s="50"/>
      <c r="B8" s="853"/>
      <c r="C8" s="864" t="s">
        <v>628</v>
      </c>
      <c r="D8" s="865" t="s">
        <v>629</v>
      </c>
      <c r="E8" s="866">
        <f>SUM(E9:E10)</f>
        <v>50</v>
      </c>
      <c r="F8" s="867">
        <f>SUM(F9:F10)</f>
        <v>15</v>
      </c>
      <c r="G8" s="851"/>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row>
    <row r="9" spans="1:57" ht="17.100000000000001" customHeight="1" x14ac:dyDescent="0.2">
      <c r="A9" s="50"/>
      <c r="B9" s="853"/>
      <c r="C9" s="861" t="s">
        <v>630</v>
      </c>
      <c r="D9" s="862">
        <v>0.3</v>
      </c>
      <c r="E9" s="911">
        <v>50</v>
      </c>
      <c r="F9" s="863">
        <f>E9*D9</f>
        <v>15</v>
      </c>
      <c r="G9" s="851"/>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row>
    <row r="10" spans="1:57" ht="17.100000000000001" customHeight="1" x14ac:dyDescent="0.2">
      <c r="A10" s="50"/>
      <c r="B10" s="853"/>
      <c r="C10" s="861" t="s">
        <v>631</v>
      </c>
      <c r="D10" s="862">
        <v>0.3</v>
      </c>
      <c r="E10" s="912"/>
      <c r="F10" s="863">
        <f>E10*D10</f>
        <v>0</v>
      </c>
      <c r="G10" s="851"/>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row>
    <row r="11" spans="1:57" ht="17.100000000000001" customHeight="1" x14ac:dyDescent="0.2">
      <c r="A11" s="50"/>
      <c r="B11" s="853"/>
      <c r="C11" s="864" t="s">
        <v>632</v>
      </c>
      <c r="D11" s="865" t="s">
        <v>629</v>
      </c>
      <c r="E11" s="866">
        <f>SUM(E12:E14)</f>
        <v>30</v>
      </c>
      <c r="F11" s="867">
        <f>SUM(F12:F14)</f>
        <v>21</v>
      </c>
      <c r="G11" s="851"/>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row>
    <row r="12" spans="1:57" ht="17.100000000000001" customHeight="1" x14ac:dyDescent="0.2">
      <c r="A12" s="50"/>
      <c r="B12" s="853"/>
      <c r="C12" s="861" t="s">
        <v>630</v>
      </c>
      <c r="D12" s="862">
        <v>0.7</v>
      </c>
      <c r="E12" s="911">
        <v>30</v>
      </c>
      <c r="F12" s="863">
        <f>E12*D12</f>
        <v>21</v>
      </c>
      <c r="G12" s="851"/>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row>
    <row r="13" spans="1:57" ht="17.100000000000001" customHeight="1" x14ac:dyDescent="0.2">
      <c r="A13" s="50"/>
      <c r="B13" s="853"/>
      <c r="C13" s="861" t="s">
        <v>633</v>
      </c>
      <c r="D13" s="862">
        <v>0.7</v>
      </c>
      <c r="E13" s="913"/>
      <c r="F13" s="863">
        <f>E13*D13</f>
        <v>0</v>
      </c>
      <c r="G13" s="851"/>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row>
    <row r="14" spans="1:57" ht="17.100000000000001" customHeight="1" x14ac:dyDescent="0.2">
      <c r="A14" s="50"/>
      <c r="B14" s="853"/>
      <c r="C14" s="861" t="s">
        <v>634</v>
      </c>
      <c r="D14" s="862">
        <v>0.7</v>
      </c>
      <c r="E14" s="912"/>
      <c r="F14" s="863">
        <f>E14*D14</f>
        <v>0</v>
      </c>
      <c r="G14" s="851"/>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row>
    <row r="15" spans="1:57" ht="17.100000000000001" customHeight="1" x14ac:dyDescent="0.2">
      <c r="A15" s="50"/>
      <c r="B15" s="853"/>
      <c r="C15" s="864" t="s">
        <v>635</v>
      </c>
      <c r="D15" s="865" t="s">
        <v>629</v>
      </c>
      <c r="E15" s="866">
        <f>SUM(E16:E21)</f>
        <v>0</v>
      </c>
      <c r="F15" s="867">
        <f>SUM(F16:F21)</f>
        <v>0</v>
      </c>
      <c r="G15" s="851"/>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row>
    <row r="16" spans="1:57" ht="17.100000000000001" customHeight="1" x14ac:dyDescent="0.2">
      <c r="A16" s="50"/>
      <c r="B16" s="853"/>
      <c r="C16" s="861" t="s">
        <v>636</v>
      </c>
      <c r="D16" s="862">
        <v>1</v>
      </c>
      <c r="E16" s="911"/>
      <c r="F16" s="863">
        <f t="shared" ref="F16:F21" si="0">E16*D16</f>
        <v>0</v>
      </c>
      <c r="G16" s="851"/>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row>
    <row r="17" spans="1:57" ht="17.100000000000001" customHeight="1" x14ac:dyDescent="0.2">
      <c r="A17" s="50"/>
      <c r="B17" s="853"/>
      <c r="C17" s="861" t="s">
        <v>637</v>
      </c>
      <c r="D17" s="862">
        <v>1</v>
      </c>
      <c r="E17" s="913"/>
      <c r="F17" s="863">
        <f t="shared" si="0"/>
        <v>0</v>
      </c>
      <c r="G17" s="851"/>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row>
    <row r="18" spans="1:57" ht="17.100000000000001" customHeight="1" x14ac:dyDescent="0.2">
      <c r="A18" s="50"/>
      <c r="B18" s="853"/>
      <c r="C18" s="861" t="s">
        <v>638</v>
      </c>
      <c r="D18" s="862">
        <v>1</v>
      </c>
      <c r="E18" s="913"/>
      <c r="F18" s="863">
        <f t="shared" si="0"/>
        <v>0</v>
      </c>
      <c r="G18" s="851"/>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row>
    <row r="19" spans="1:57" ht="17.100000000000001" customHeight="1" x14ac:dyDescent="0.2">
      <c r="A19" s="50"/>
      <c r="B19" s="853"/>
      <c r="C19" s="861" t="s">
        <v>639</v>
      </c>
      <c r="D19" s="862">
        <v>1</v>
      </c>
      <c r="E19" s="913"/>
      <c r="F19" s="863">
        <f t="shared" si="0"/>
        <v>0</v>
      </c>
      <c r="G19" s="85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row>
    <row r="20" spans="1:57" ht="17.100000000000001" customHeight="1" x14ac:dyDescent="0.2">
      <c r="A20" s="50"/>
      <c r="B20" s="853"/>
      <c r="C20" s="861" t="s">
        <v>640</v>
      </c>
      <c r="D20" s="862">
        <v>1</v>
      </c>
      <c r="E20" s="913"/>
      <c r="F20" s="863">
        <f t="shared" si="0"/>
        <v>0</v>
      </c>
      <c r="G20" s="851"/>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row>
    <row r="21" spans="1:57" ht="17.100000000000001" customHeight="1" x14ac:dyDescent="0.2">
      <c r="A21" s="50"/>
      <c r="B21" s="853"/>
      <c r="C21" s="861" t="s">
        <v>641</v>
      </c>
      <c r="D21" s="862">
        <v>1</v>
      </c>
      <c r="E21" s="912"/>
      <c r="F21" s="863">
        <f t="shared" si="0"/>
        <v>0</v>
      </c>
      <c r="G21" s="851"/>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row>
    <row r="22" spans="1:57" ht="17.100000000000001" customHeight="1" x14ac:dyDescent="0.2">
      <c r="A22" s="50"/>
      <c r="B22" s="853"/>
      <c r="C22" s="864" t="s">
        <v>642</v>
      </c>
      <c r="D22" s="868" t="s">
        <v>629</v>
      </c>
      <c r="E22" s="866">
        <f>E7+E8+E11+E15</f>
        <v>80</v>
      </c>
      <c r="F22" s="867">
        <f>F7+F8+F11+F15</f>
        <v>36</v>
      </c>
      <c r="G22" s="851"/>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row>
    <row r="23" spans="1:57" ht="17.100000000000001" customHeight="1" x14ac:dyDescent="0.2">
      <c r="A23" s="50"/>
      <c r="B23" s="853"/>
      <c r="C23" s="861" t="s">
        <v>643</v>
      </c>
      <c r="D23" s="869">
        <v>0.05</v>
      </c>
      <c r="E23" s="910"/>
      <c r="F23" s="863">
        <f>E23*D23</f>
        <v>0</v>
      </c>
      <c r="G23" s="851"/>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row>
    <row r="24" spans="1:57" ht="17.100000000000001" customHeight="1" x14ac:dyDescent="0.2">
      <c r="A24" s="50"/>
      <c r="B24" s="853"/>
      <c r="C24" s="864" t="s">
        <v>644</v>
      </c>
      <c r="D24" s="868" t="s">
        <v>629</v>
      </c>
      <c r="E24" s="866">
        <f>SUM(E25:E27)</f>
        <v>0</v>
      </c>
      <c r="F24" s="867">
        <f>SUM(F25:F27)</f>
        <v>0</v>
      </c>
      <c r="G24" s="851"/>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row>
    <row r="25" spans="1:57" ht="17.100000000000001" customHeight="1" x14ac:dyDescent="0.2">
      <c r="A25" s="50"/>
      <c r="B25" s="853"/>
      <c r="C25" s="861" t="s">
        <v>645</v>
      </c>
      <c r="D25" s="869">
        <v>0.1</v>
      </c>
      <c r="E25" s="911"/>
      <c r="F25" s="863">
        <f>E25*D25</f>
        <v>0</v>
      </c>
      <c r="G25" s="851"/>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row>
    <row r="26" spans="1:57" ht="17.100000000000001" customHeight="1" x14ac:dyDescent="0.2">
      <c r="A26" s="50"/>
      <c r="B26" s="853"/>
      <c r="C26" s="861" t="s">
        <v>646</v>
      </c>
      <c r="D26" s="869">
        <v>0.1</v>
      </c>
      <c r="E26" s="913"/>
      <c r="F26" s="863">
        <f>E26*D26</f>
        <v>0</v>
      </c>
      <c r="G26" s="851"/>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row>
    <row r="27" spans="1:57" ht="17.100000000000001" customHeight="1" x14ac:dyDescent="0.2">
      <c r="A27" s="50"/>
      <c r="B27" s="853"/>
      <c r="C27" s="861" t="s">
        <v>647</v>
      </c>
      <c r="D27" s="869">
        <v>0.1</v>
      </c>
      <c r="E27" s="912"/>
      <c r="F27" s="863">
        <f>E27*D27</f>
        <v>0</v>
      </c>
      <c r="G27" s="851"/>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row>
    <row r="28" spans="1:57" ht="17.100000000000001" customHeight="1" x14ac:dyDescent="0.2">
      <c r="A28" s="50"/>
      <c r="B28" s="853"/>
      <c r="C28" s="864" t="s">
        <v>648</v>
      </c>
      <c r="D28" s="868" t="s">
        <v>629</v>
      </c>
      <c r="E28" s="866">
        <f>E23+E24</f>
        <v>0</v>
      </c>
      <c r="F28" s="867">
        <f>F23+F24</f>
        <v>0</v>
      </c>
      <c r="G28" s="851"/>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row>
    <row r="29" spans="1:57" ht="17.100000000000001" customHeight="1" x14ac:dyDescent="0.2">
      <c r="A29" s="50"/>
      <c r="B29" s="853"/>
      <c r="C29" s="861" t="s">
        <v>649</v>
      </c>
      <c r="D29" s="869">
        <v>0.7</v>
      </c>
      <c r="E29" s="910"/>
      <c r="F29" s="863">
        <f>E29*D29</f>
        <v>0</v>
      </c>
      <c r="G29" s="851"/>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row>
    <row r="30" spans="1:57" ht="17.100000000000001" customHeight="1" x14ac:dyDescent="0.2">
      <c r="A30" s="50"/>
      <c r="B30" s="853"/>
      <c r="C30" s="864" t="s">
        <v>650</v>
      </c>
      <c r="D30" s="868" t="s">
        <v>629</v>
      </c>
      <c r="E30" s="866">
        <f>SUM(E31:E34)</f>
        <v>0</v>
      </c>
      <c r="F30" s="867">
        <f>SUM(F31:F34)</f>
        <v>0</v>
      </c>
      <c r="G30" s="851"/>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row>
    <row r="31" spans="1:57" ht="17.100000000000001" customHeight="1" x14ac:dyDescent="0.2">
      <c r="A31" s="50"/>
      <c r="B31" s="853"/>
      <c r="C31" s="861" t="s">
        <v>651</v>
      </c>
      <c r="D31" s="869">
        <v>0.7</v>
      </c>
      <c r="E31" s="911"/>
      <c r="F31" s="863">
        <f>E31*D31</f>
        <v>0</v>
      </c>
      <c r="G31" s="851"/>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row>
    <row r="32" spans="1:57" ht="17.100000000000001" customHeight="1" x14ac:dyDescent="0.2">
      <c r="A32" s="50"/>
      <c r="B32" s="853"/>
      <c r="C32" s="861" t="s">
        <v>652</v>
      </c>
      <c r="D32" s="869">
        <v>0.7</v>
      </c>
      <c r="E32" s="913"/>
      <c r="F32" s="863">
        <f>E32*D32</f>
        <v>0</v>
      </c>
      <c r="G32" s="851"/>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row>
    <row r="33" spans="1:57" ht="17.100000000000001" customHeight="1" x14ac:dyDescent="0.2">
      <c r="A33" s="50"/>
      <c r="B33" s="853"/>
      <c r="C33" s="861" t="s">
        <v>653</v>
      </c>
      <c r="D33" s="869">
        <v>1.1000000000000001</v>
      </c>
      <c r="E33" s="913"/>
      <c r="F33" s="863">
        <f>E33*D33</f>
        <v>0</v>
      </c>
      <c r="G33" s="851"/>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row>
    <row r="34" spans="1:57" ht="17.100000000000001" customHeight="1" x14ac:dyDescent="0.2">
      <c r="A34" s="50"/>
      <c r="B34" s="853"/>
      <c r="C34" s="861" t="s">
        <v>654</v>
      </c>
      <c r="D34" s="869">
        <v>1.1000000000000001</v>
      </c>
      <c r="E34" s="912"/>
      <c r="F34" s="863">
        <f>E34*D34</f>
        <v>0</v>
      </c>
      <c r="G34" s="851"/>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row>
    <row r="35" spans="1:57" ht="17.100000000000001" customHeight="1" x14ac:dyDescent="0.2">
      <c r="A35" s="50"/>
      <c r="B35" s="853"/>
      <c r="C35" s="864" t="s">
        <v>655</v>
      </c>
      <c r="D35" s="868" t="s">
        <v>629</v>
      </c>
      <c r="E35" s="866">
        <f>E29+E30</f>
        <v>0</v>
      </c>
      <c r="F35" s="867">
        <f>F29+F30</f>
        <v>0</v>
      </c>
      <c r="G35" s="851"/>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row>
    <row r="36" spans="1:57" ht="17.100000000000001" customHeight="1" x14ac:dyDescent="0.2">
      <c r="A36" s="50"/>
      <c r="B36" s="853"/>
      <c r="C36" s="870" t="s">
        <v>656</v>
      </c>
      <c r="D36" s="869">
        <v>0.02</v>
      </c>
      <c r="E36" s="911"/>
      <c r="F36" s="863">
        <f>E36*D36</f>
        <v>0</v>
      </c>
      <c r="G36" s="851"/>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row>
    <row r="37" spans="1:57" ht="17.100000000000001" customHeight="1" x14ac:dyDescent="0.2">
      <c r="A37" s="50"/>
      <c r="B37" s="853"/>
      <c r="C37" s="870" t="s">
        <v>657</v>
      </c>
      <c r="D37" s="869">
        <v>0.06</v>
      </c>
      <c r="E37" s="912"/>
      <c r="F37" s="863">
        <f>E37*D37</f>
        <v>0</v>
      </c>
      <c r="G37" s="851"/>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row>
    <row r="38" spans="1:57" ht="17.100000000000001" customHeight="1" x14ac:dyDescent="0.2">
      <c r="A38" s="50"/>
      <c r="B38" s="853"/>
      <c r="C38" s="871" t="s">
        <v>658</v>
      </c>
      <c r="D38" s="868" t="s">
        <v>629</v>
      </c>
      <c r="E38" s="866">
        <f>SUM(E39:E41)</f>
        <v>0</v>
      </c>
      <c r="F38" s="867">
        <f>SUM(F39:F41)</f>
        <v>0</v>
      </c>
      <c r="G38" s="851"/>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row>
    <row r="39" spans="1:57" ht="17.100000000000001" customHeight="1" x14ac:dyDescent="0.2">
      <c r="A39" s="50"/>
      <c r="B39" s="853"/>
      <c r="C39" s="870" t="s">
        <v>659</v>
      </c>
      <c r="D39" s="869">
        <v>0.16</v>
      </c>
      <c r="E39" s="911"/>
      <c r="F39" s="863">
        <f>E39*D39</f>
        <v>0</v>
      </c>
      <c r="G39" s="851"/>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row>
    <row r="40" spans="1:57" ht="17.100000000000001" customHeight="1" x14ac:dyDescent="0.2">
      <c r="A40" s="50"/>
      <c r="B40" s="853"/>
      <c r="C40" s="870" t="s">
        <v>660</v>
      </c>
      <c r="D40" s="869">
        <v>0.16</v>
      </c>
      <c r="E40" s="913"/>
      <c r="F40" s="863">
        <f>E40*D40</f>
        <v>0</v>
      </c>
      <c r="G40" s="851"/>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row>
    <row r="41" spans="1:57" ht="17.100000000000001" customHeight="1" x14ac:dyDescent="0.2">
      <c r="A41" s="50"/>
      <c r="B41" s="853"/>
      <c r="C41" s="870" t="s">
        <v>661</v>
      </c>
      <c r="D41" s="869">
        <v>0.16</v>
      </c>
      <c r="E41" s="912"/>
      <c r="F41" s="863">
        <f>E41*D41</f>
        <v>0</v>
      </c>
      <c r="G41" s="851"/>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row>
    <row r="42" spans="1:57" ht="17.100000000000001" customHeight="1" x14ac:dyDescent="0.2">
      <c r="A42" s="50"/>
      <c r="B42" s="853"/>
      <c r="C42" s="871" t="s">
        <v>662</v>
      </c>
      <c r="D42" s="868" t="s">
        <v>629</v>
      </c>
      <c r="E42" s="866">
        <f>SUM(E43:E47)</f>
        <v>0</v>
      </c>
      <c r="F42" s="867">
        <f>SUM(F43:F47)</f>
        <v>0</v>
      </c>
      <c r="G42" s="851"/>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row>
    <row r="43" spans="1:57" ht="17.100000000000001" customHeight="1" x14ac:dyDescent="0.2">
      <c r="A43" s="50"/>
      <c r="B43" s="853"/>
      <c r="C43" s="870" t="s">
        <v>663</v>
      </c>
      <c r="D43" s="869">
        <v>0.3</v>
      </c>
      <c r="E43" s="911"/>
      <c r="F43" s="863">
        <f>E43*D43</f>
        <v>0</v>
      </c>
      <c r="G43" s="851"/>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row>
    <row r="44" spans="1:57" ht="17.100000000000001" customHeight="1" x14ac:dyDescent="0.2">
      <c r="A44" s="50"/>
      <c r="B44" s="853"/>
      <c r="C44" s="870" t="s">
        <v>664</v>
      </c>
      <c r="D44" s="869">
        <v>0.3</v>
      </c>
      <c r="E44" s="913"/>
      <c r="F44" s="863">
        <f>E44*D44</f>
        <v>0</v>
      </c>
      <c r="G44" s="851"/>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row>
    <row r="45" spans="1:57" ht="17.100000000000001" customHeight="1" x14ac:dyDescent="0.2">
      <c r="A45" s="50"/>
      <c r="B45" s="853"/>
      <c r="C45" s="870" t="s">
        <v>665</v>
      </c>
      <c r="D45" s="869">
        <v>0.3</v>
      </c>
      <c r="E45" s="913"/>
      <c r="F45" s="863">
        <f>E45*D45</f>
        <v>0</v>
      </c>
      <c r="G45" s="851"/>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row>
    <row r="46" spans="1:57" ht="17.100000000000001" customHeight="1" x14ac:dyDescent="0.2">
      <c r="A46" s="50"/>
      <c r="B46" s="853"/>
      <c r="C46" s="870" t="s">
        <v>666</v>
      </c>
      <c r="D46" s="869">
        <v>0.3</v>
      </c>
      <c r="E46" s="913"/>
      <c r="F46" s="863">
        <f>E46*D46</f>
        <v>0</v>
      </c>
      <c r="G46" s="851"/>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row>
    <row r="47" spans="1:57" ht="17.100000000000001" customHeight="1" x14ac:dyDescent="0.2">
      <c r="A47" s="50"/>
      <c r="B47" s="853"/>
      <c r="C47" s="870" t="s">
        <v>667</v>
      </c>
      <c r="D47" s="869">
        <v>0.3</v>
      </c>
      <c r="E47" s="912"/>
      <c r="F47" s="863">
        <f>E47*D47</f>
        <v>0</v>
      </c>
      <c r="G47" s="851"/>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row>
    <row r="48" spans="1:57" ht="17.100000000000001" customHeight="1" x14ac:dyDescent="0.2">
      <c r="A48" s="50"/>
      <c r="B48" s="853"/>
      <c r="C48" s="872" t="s">
        <v>668</v>
      </c>
      <c r="D48" s="868" t="s">
        <v>629</v>
      </c>
      <c r="E48" s="873">
        <f>E36+E37+E38+E42</f>
        <v>0</v>
      </c>
      <c r="F48" s="867">
        <f>F36+F37+F38+F42</f>
        <v>0</v>
      </c>
      <c r="G48" s="851"/>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row>
    <row r="49" spans="1:57" ht="17.100000000000001" customHeight="1" x14ac:dyDescent="0.2">
      <c r="A49" s="50"/>
      <c r="B49" s="853"/>
      <c r="C49" s="872" t="s">
        <v>669</v>
      </c>
      <c r="D49" s="874" t="s">
        <v>629</v>
      </c>
      <c r="E49" s="875">
        <f>SUM(E50:E52)</f>
        <v>0</v>
      </c>
      <c r="F49" s="867">
        <f>SUM(F50:F52)</f>
        <v>0</v>
      </c>
      <c r="G49" s="851"/>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row>
    <row r="50" spans="1:57" ht="17.100000000000001" customHeight="1" x14ac:dyDescent="0.2">
      <c r="A50" s="50"/>
      <c r="B50" s="853"/>
      <c r="C50" s="876" t="s">
        <v>670</v>
      </c>
      <c r="D50" s="877">
        <v>4.0000000000000001E-3</v>
      </c>
      <c r="E50" s="911"/>
      <c r="F50" s="863">
        <f>E50*D50</f>
        <v>0</v>
      </c>
      <c r="G50" s="851"/>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1:57" ht="17.100000000000001" customHeight="1" x14ac:dyDescent="0.2">
      <c r="A51" s="50"/>
      <c r="B51" s="853"/>
      <c r="C51" s="876" t="s">
        <v>671</v>
      </c>
      <c r="D51" s="877">
        <v>4.0000000000000001E-3</v>
      </c>
      <c r="E51" s="913"/>
      <c r="F51" s="863">
        <f>E51*D51</f>
        <v>0</v>
      </c>
      <c r="G51" s="851"/>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row>
    <row r="52" spans="1:57" ht="17.100000000000001" customHeight="1" x14ac:dyDescent="0.2">
      <c r="A52" s="50"/>
      <c r="B52" s="853"/>
      <c r="C52" s="876" t="s">
        <v>672</v>
      </c>
      <c r="D52" s="877">
        <v>4.0000000000000001E-3</v>
      </c>
      <c r="E52" s="912"/>
      <c r="F52" s="863">
        <f>E52*D52</f>
        <v>0</v>
      </c>
      <c r="G52" s="851"/>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row>
    <row r="53" spans="1:57" ht="17.100000000000001" customHeight="1" x14ac:dyDescent="0.2">
      <c r="A53" s="50"/>
      <c r="B53" s="853"/>
      <c r="C53" s="872" t="s">
        <v>673</v>
      </c>
      <c r="D53" s="868" t="s">
        <v>629</v>
      </c>
      <c r="E53" s="866">
        <f>SUM(E54:E56)</f>
        <v>0</v>
      </c>
      <c r="F53" s="867">
        <f>SUM(F54:F56)</f>
        <v>0</v>
      </c>
      <c r="G53" s="851"/>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row>
    <row r="54" spans="1:57" ht="17.100000000000001" customHeight="1" x14ac:dyDescent="0.2">
      <c r="A54" s="50"/>
      <c r="B54" s="853"/>
      <c r="C54" s="876" t="s">
        <v>317</v>
      </c>
      <c r="D54" s="877">
        <v>4.0000000000000001E-3</v>
      </c>
      <c r="E54" s="911"/>
      <c r="F54" s="863">
        <f>E54*D54</f>
        <v>0</v>
      </c>
      <c r="G54" s="85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row>
    <row r="55" spans="1:57" ht="17.100000000000001" customHeight="1" x14ac:dyDescent="0.2">
      <c r="A55" s="50"/>
      <c r="B55" s="853"/>
      <c r="C55" s="876" t="s">
        <v>312</v>
      </c>
      <c r="D55" s="877">
        <v>4.0000000000000001E-3</v>
      </c>
      <c r="E55" s="913"/>
      <c r="F55" s="863">
        <f>E55*D55</f>
        <v>0</v>
      </c>
      <c r="G55" s="851"/>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1:57" ht="17.100000000000001" customHeight="1" x14ac:dyDescent="0.2">
      <c r="A56" s="50"/>
      <c r="B56" s="853"/>
      <c r="C56" s="876" t="s">
        <v>674</v>
      </c>
      <c r="D56" s="877">
        <v>4.0000000000000001E-3</v>
      </c>
      <c r="E56" s="912"/>
      <c r="F56" s="863">
        <f>E56*D56</f>
        <v>0</v>
      </c>
      <c r="G56" s="851"/>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row>
    <row r="57" spans="1:57" ht="17.100000000000001" customHeight="1" x14ac:dyDescent="0.2">
      <c r="A57" s="50"/>
      <c r="B57" s="853"/>
      <c r="C57" s="878" t="s">
        <v>675</v>
      </c>
      <c r="D57" s="879" t="s">
        <v>629</v>
      </c>
      <c r="E57" s="880">
        <f>E49+E53</f>
        <v>0</v>
      </c>
      <c r="F57" s="881">
        <f>F49+F53</f>
        <v>0</v>
      </c>
      <c r="G57" s="851"/>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row>
    <row r="58" spans="1:57" ht="17.100000000000001" customHeight="1" x14ac:dyDescent="0.25">
      <c r="A58" s="50"/>
      <c r="B58" s="853"/>
      <c r="C58" s="882" t="s">
        <v>676</v>
      </c>
      <c r="D58" s="883" t="s">
        <v>629</v>
      </c>
      <c r="E58" s="883" t="s">
        <v>629</v>
      </c>
      <c r="F58" s="884">
        <f>F57+F48+F35+F28+F22</f>
        <v>36</v>
      </c>
      <c r="G58" s="851"/>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row>
    <row r="59" spans="1:57" ht="17.100000000000001" customHeight="1" x14ac:dyDescent="0.2">
      <c r="A59" s="50"/>
      <c r="B59" s="853"/>
      <c r="C59" s="885" t="s">
        <v>677</v>
      </c>
      <c r="D59" s="868" t="s">
        <v>629</v>
      </c>
      <c r="E59" s="886">
        <f>Betrieb!F28</f>
        <v>30.81</v>
      </c>
      <c r="F59" s="887" t="s">
        <v>629</v>
      </c>
      <c r="G59" s="851"/>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row>
    <row r="60" spans="1:57" ht="17.100000000000001" customHeight="1" x14ac:dyDescent="0.25">
      <c r="A60" s="50"/>
      <c r="B60" s="853"/>
      <c r="C60" s="885" t="s">
        <v>678</v>
      </c>
      <c r="D60" s="868" t="s">
        <v>629</v>
      </c>
      <c r="E60" s="868" t="s">
        <v>629</v>
      </c>
      <c r="F60" s="888">
        <f>IF(E59=0,"",F58/E59)</f>
        <v>1.1684518013631937</v>
      </c>
      <c r="G60" s="851"/>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row>
    <row r="61" spans="1:57" ht="18.75" customHeight="1" x14ac:dyDescent="0.2">
      <c r="A61" s="50"/>
      <c r="B61" s="851"/>
      <c r="C61" s="1069" t="str">
        <f>Betrieb!D33</f>
        <v>Version 2019    von Heinrich - Bernhard Münzebrock</v>
      </c>
      <c r="D61" s="1069"/>
      <c r="E61" s="1069"/>
      <c r="F61" s="1069"/>
      <c r="G61" s="851"/>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row>
    <row r="62" spans="1:57"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row>
    <row r="63" spans="1:57"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row>
    <row r="64" spans="1:57"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57"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row>
    <row r="66" spans="1:57"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row>
    <row r="67" spans="1:57"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row>
    <row r="68" spans="1:57"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row>
    <row r="69" spans="1:57"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row>
    <row r="70" spans="1:57"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row>
    <row r="71" spans="1:57"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row>
    <row r="72" spans="1:57"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row>
    <row r="73" spans="1:57"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row>
    <row r="74" spans="1:57"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row>
    <row r="75" spans="1:57"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row>
    <row r="76" spans="1:57"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row>
    <row r="77" spans="1:57"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row>
    <row r="78" spans="1:57"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row>
    <row r="79" spans="1:57" x14ac:dyDescent="0.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row>
    <row r="80" spans="1:57" x14ac:dyDescent="0.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row>
    <row r="81" spans="1:57" x14ac:dyDescent="0.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row>
    <row r="82" spans="1:57" x14ac:dyDescent="0.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row>
    <row r="83" spans="1:57" x14ac:dyDescent="0.2">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row>
    <row r="84" spans="1:57" x14ac:dyDescent="0.2">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row>
    <row r="85" spans="1:57" x14ac:dyDescent="0.2">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row>
    <row r="86" spans="1:57" x14ac:dyDescent="0.2">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row>
    <row r="87" spans="1:57" x14ac:dyDescent="0.2">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row>
    <row r="88" spans="1:57"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row>
    <row r="89" spans="1:57" x14ac:dyDescent="0.2">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row>
    <row r="90" spans="1:57" x14ac:dyDescent="0.2">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row>
    <row r="91" spans="1:57" x14ac:dyDescent="0.2">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row>
    <row r="92" spans="1:57" x14ac:dyDescent="0.2">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row>
    <row r="93" spans="1:57" x14ac:dyDescent="0.2">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row>
    <row r="94" spans="1:57" x14ac:dyDescent="0.2">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row>
    <row r="95" spans="1:57" x14ac:dyDescent="0.2">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row>
    <row r="96" spans="1:57" x14ac:dyDescent="0.2">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row>
    <row r="97" spans="1:57" x14ac:dyDescent="0.2">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row>
    <row r="98" spans="1:57" x14ac:dyDescent="0.2">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row>
    <row r="99" spans="1:57" x14ac:dyDescent="0.2">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row>
    <row r="100" spans="1:57" x14ac:dyDescent="0.2">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row>
    <row r="101" spans="1:57" x14ac:dyDescent="0.2">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row>
    <row r="102" spans="1:57" x14ac:dyDescent="0.2">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row>
    <row r="103" spans="1:57" x14ac:dyDescent="0.2">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row>
  </sheetData>
  <sheetProtection algorithmName="SHA-512" hashValue="CejUQ+KEYmP/34DGiX95LV36BsWTMvfhXwHKDTJ2ZIn4FVW3bcudikxRHYjO5kqUFMcoOFl+7Bxm0qF0mKOMkA==" saltValue="3Snu1Qk+QYg3/Z5FLfp+pw==" spinCount="100000" sheet="1" objects="1" scenarios="1"/>
  <mergeCells count="3">
    <mergeCell ref="C3:F3"/>
    <mergeCell ref="C4:F4"/>
    <mergeCell ref="C61:F61"/>
  </mergeCells>
  <pageMargins left="1.1811023622047245" right="0" top="0.19685039370078741" bottom="0" header="0.51181102362204722" footer="0.51181102362204722"/>
  <pageSetup paperSize="9" scale="90" firstPageNumber="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W177"/>
  <sheetViews>
    <sheetView showGridLines="0" showRowColHeaders="0" zoomScale="110" zoomScaleNormal="110" workbookViewId="0">
      <selection activeCell="O17" sqref="O17:P17"/>
    </sheetView>
  </sheetViews>
  <sheetFormatPr baseColWidth="10" defaultColWidth="9.140625" defaultRowHeight="12.75" x14ac:dyDescent="0.2"/>
  <cols>
    <col min="1" max="1" width="4.140625" style="51"/>
    <col min="2" max="2" width="3.5703125" style="51"/>
    <col min="3" max="3" width="13.28515625" style="52"/>
    <col min="4" max="4" width="12.28515625" style="52"/>
    <col min="5" max="5" width="17" style="52"/>
    <col min="6" max="9" width="11.7109375" style="51"/>
    <col min="10" max="10" width="3" style="51"/>
    <col min="11" max="74" width="11.7109375" style="50"/>
    <col min="75" max="257" width="11.7109375" style="51"/>
    <col min="258" max="1025" width="11.7109375"/>
  </cols>
  <sheetData>
    <row r="1" spans="1:10" ht="19.5" customHeight="1" x14ac:dyDescent="0.2">
      <c r="A1" s="50"/>
      <c r="B1" s="50"/>
      <c r="C1" s="53"/>
      <c r="D1" s="53"/>
      <c r="E1" s="53"/>
      <c r="F1" s="50"/>
      <c r="G1" s="50"/>
      <c r="H1" s="50"/>
      <c r="I1" s="50"/>
      <c r="J1" s="50"/>
    </row>
    <row r="2" spans="1:10" ht="17.850000000000001" customHeight="1" x14ac:dyDescent="0.25">
      <c r="A2" s="50"/>
      <c r="C2" s="889"/>
    </row>
    <row r="3" spans="1:10" ht="17.850000000000001" customHeight="1" x14ac:dyDescent="0.2">
      <c r="A3" s="50"/>
      <c r="C3" s="890" t="s">
        <v>679</v>
      </c>
    </row>
    <row r="4" spans="1:10" ht="15" customHeight="1" x14ac:dyDescent="0.25">
      <c r="A4" s="50"/>
      <c r="C4" s="889"/>
    </row>
    <row r="5" spans="1:10" ht="17.100000000000001" customHeight="1" x14ac:dyDescent="0.2">
      <c r="A5" s="50"/>
      <c r="C5" s="891" t="s">
        <v>680</v>
      </c>
    </row>
    <row r="6" spans="1:10" ht="17.100000000000001" customHeight="1" x14ac:dyDescent="0.2">
      <c r="A6" s="50"/>
      <c r="C6" s="891" t="s">
        <v>681</v>
      </c>
      <c r="D6" s="341"/>
      <c r="E6" s="341"/>
      <c r="F6" s="341"/>
      <c r="G6" s="341"/>
      <c r="H6" s="341"/>
      <c r="I6" s="341"/>
    </row>
    <row r="7" spans="1:10" x14ac:dyDescent="0.2">
      <c r="A7" s="50"/>
      <c r="C7" s="892" t="s">
        <v>682</v>
      </c>
      <c r="D7" s="341"/>
      <c r="E7" s="341"/>
      <c r="F7" s="341"/>
      <c r="G7" s="341"/>
      <c r="H7" s="341"/>
      <c r="I7" s="341"/>
    </row>
    <row r="8" spans="1:10" ht="17.100000000000001" customHeight="1" x14ac:dyDescent="0.2">
      <c r="A8" s="50"/>
      <c r="C8" s="893"/>
      <c r="D8" s="893"/>
      <c r="E8" s="893"/>
      <c r="F8" s="341"/>
      <c r="G8" s="341"/>
      <c r="H8" s="341"/>
      <c r="I8" s="341"/>
    </row>
    <row r="9" spans="1:10" ht="14.65" customHeight="1" x14ac:dyDescent="0.2">
      <c r="A9" s="50"/>
      <c r="C9" s="894" t="s">
        <v>683</v>
      </c>
      <c r="D9" s="893"/>
      <c r="E9" s="893"/>
      <c r="F9" s="341"/>
      <c r="G9" s="341"/>
      <c r="H9" s="341"/>
      <c r="I9" s="341"/>
    </row>
    <row r="10" spans="1:10" ht="15.4" customHeight="1" x14ac:dyDescent="0.2">
      <c r="A10" s="50"/>
      <c r="C10" s="894" t="s">
        <v>684</v>
      </c>
      <c r="D10" s="893"/>
      <c r="E10" s="893"/>
      <c r="F10" s="341"/>
      <c r="G10" s="341"/>
      <c r="H10" s="341"/>
      <c r="I10" s="341"/>
    </row>
    <row r="11" spans="1:10" ht="15.75" hidden="1" customHeight="1" x14ac:dyDescent="0.2">
      <c r="A11" s="50"/>
      <c r="C11" s="895"/>
      <c r="D11" s="893"/>
      <c r="E11" s="893"/>
      <c r="F11" s="341"/>
      <c r="G11" s="341"/>
      <c r="H11" s="341"/>
      <c r="I11" s="341"/>
    </row>
    <row r="12" spans="1:10" ht="15.75" customHeight="1" x14ac:dyDescent="0.2">
      <c r="A12" s="50"/>
      <c r="C12" s="896"/>
      <c r="D12" s="341"/>
      <c r="E12" s="341"/>
      <c r="F12" s="341"/>
      <c r="G12" s="341"/>
      <c r="H12" s="341"/>
      <c r="I12" s="341"/>
    </row>
    <row r="13" spans="1:10" ht="15.75" customHeight="1" x14ac:dyDescent="0.2">
      <c r="A13" s="50"/>
      <c r="C13" s="897" t="s">
        <v>685</v>
      </c>
      <c r="D13" s="341"/>
      <c r="E13" s="341"/>
      <c r="F13" s="341"/>
      <c r="G13" s="341"/>
      <c r="H13" s="341"/>
      <c r="I13" s="341"/>
    </row>
    <row r="14" spans="1:10" ht="15.75" hidden="1" customHeight="1" x14ac:dyDescent="0.2">
      <c r="A14" s="50"/>
      <c r="C14" s="897"/>
      <c r="D14" s="341"/>
      <c r="E14" s="341"/>
      <c r="F14" s="341"/>
      <c r="G14" s="341"/>
      <c r="H14" s="341"/>
      <c r="I14" s="341"/>
    </row>
    <row r="15" spans="1:10" ht="15" customHeight="1" x14ac:dyDescent="0.2">
      <c r="A15" s="50"/>
      <c r="C15" s="1070" t="s">
        <v>686</v>
      </c>
      <c r="D15" s="1070"/>
      <c r="E15" s="1070"/>
      <c r="F15" s="1070"/>
      <c r="G15" s="1070"/>
      <c r="H15" s="1070"/>
      <c r="I15" s="1070"/>
    </row>
    <row r="16" spans="1:10" ht="15.75" customHeight="1" x14ac:dyDescent="0.2">
      <c r="A16" s="50"/>
      <c r="C16" s="896" t="s">
        <v>687</v>
      </c>
      <c r="D16" s="893"/>
      <c r="E16" s="893"/>
      <c r="F16" s="341"/>
      <c r="G16" s="341"/>
      <c r="H16" s="341"/>
      <c r="I16" s="341"/>
    </row>
    <row r="17" spans="1:12" ht="15.75" customHeight="1" x14ac:dyDescent="0.2">
      <c r="A17" s="50"/>
      <c r="C17" s="896" t="s">
        <v>688</v>
      </c>
      <c r="D17" s="893"/>
      <c r="E17" s="893"/>
      <c r="F17" s="341"/>
      <c r="G17" s="341"/>
      <c r="H17" s="341"/>
      <c r="I17" s="341"/>
    </row>
    <row r="18" spans="1:12" ht="15.75" customHeight="1" x14ac:dyDescent="0.2">
      <c r="A18" s="50"/>
      <c r="C18" s="896" t="s">
        <v>689</v>
      </c>
      <c r="D18" s="893"/>
      <c r="E18" s="893"/>
      <c r="F18" s="341"/>
      <c r="G18" s="341"/>
      <c r="H18" s="341"/>
      <c r="I18" s="341"/>
    </row>
    <row r="19" spans="1:12" ht="15.75" customHeight="1" x14ac:dyDescent="0.2">
      <c r="A19" s="50"/>
      <c r="C19" s="895" t="s">
        <v>690</v>
      </c>
      <c r="D19" s="893"/>
      <c r="E19" s="893"/>
      <c r="F19" s="341"/>
      <c r="G19" s="341"/>
      <c r="H19" s="341"/>
      <c r="I19" s="341"/>
    </row>
    <row r="20" spans="1:12" ht="15.75" hidden="1" customHeight="1" x14ac:dyDescent="0.2">
      <c r="A20" s="50"/>
      <c r="C20" s="895"/>
      <c r="D20" s="893"/>
      <c r="E20" s="893"/>
      <c r="F20" s="341"/>
      <c r="G20" s="341"/>
      <c r="H20" s="341"/>
      <c r="I20" s="341"/>
    </row>
    <row r="21" spans="1:12" ht="15.75" customHeight="1" x14ac:dyDescent="0.2">
      <c r="A21" s="50"/>
      <c r="C21" s="138" t="s">
        <v>691</v>
      </c>
      <c r="D21" s="893"/>
      <c r="E21" s="893"/>
      <c r="F21" s="341"/>
      <c r="G21" s="341"/>
      <c r="H21" s="341"/>
      <c r="I21" s="341"/>
    </row>
    <row r="22" spans="1:12" ht="15.75" customHeight="1" x14ac:dyDescent="0.2">
      <c r="A22" s="50"/>
      <c r="C22" s="896" t="s">
        <v>692</v>
      </c>
      <c r="D22" s="341"/>
      <c r="E22" s="341"/>
      <c r="F22" s="341"/>
      <c r="G22" s="341"/>
      <c r="H22" s="341"/>
      <c r="I22" s="341"/>
      <c r="K22" s="53"/>
      <c r="L22" s="53"/>
    </row>
    <row r="23" spans="1:12" ht="15.75" customHeight="1" x14ac:dyDescent="0.2">
      <c r="A23" s="50"/>
      <c r="C23" s="896" t="s">
        <v>693</v>
      </c>
      <c r="D23" s="341"/>
      <c r="E23" s="341"/>
      <c r="F23" s="341"/>
      <c r="G23" s="341"/>
      <c r="H23" s="341"/>
      <c r="I23" s="341"/>
      <c r="K23" s="53"/>
      <c r="L23" s="53"/>
    </row>
    <row r="24" spans="1:12" ht="15.75" customHeight="1" x14ac:dyDescent="0.2">
      <c r="A24" s="50"/>
      <c r="C24" s="896" t="s">
        <v>694</v>
      </c>
      <c r="D24" s="341"/>
      <c r="E24" s="341"/>
      <c r="F24" s="341"/>
      <c r="G24" s="341"/>
      <c r="H24" s="341"/>
      <c r="I24" s="341"/>
      <c r="K24" s="53"/>
      <c r="L24" s="53"/>
    </row>
    <row r="25" spans="1:12" ht="15.75" customHeight="1" x14ac:dyDescent="0.2">
      <c r="A25" s="50"/>
      <c r="C25" s="896"/>
      <c r="D25" s="341"/>
      <c r="E25" s="341"/>
      <c r="F25" s="341"/>
      <c r="G25" s="341"/>
      <c r="H25" s="341"/>
      <c r="I25" s="341"/>
      <c r="K25" s="53"/>
      <c r="L25" s="53"/>
    </row>
    <row r="26" spans="1:12" ht="15.75" customHeight="1" x14ac:dyDescent="0.2">
      <c r="A26" s="50"/>
      <c r="C26" s="896"/>
      <c r="D26" s="341"/>
      <c r="E26" s="341"/>
      <c r="F26" s="341"/>
      <c r="G26" s="341"/>
      <c r="H26" s="341"/>
      <c r="I26" s="341"/>
      <c r="K26" s="53"/>
      <c r="L26" s="53"/>
    </row>
    <row r="27" spans="1:12" ht="15.75" customHeight="1" x14ac:dyDescent="0.2">
      <c r="A27" s="50"/>
      <c r="C27" s="897" t="s">
        <v>695</v>
      </c>
      <c r="D27" s="893"/>
      <c r="E27" s="893"/>
      <c r="F27" s="341"/>
      <c r="G27" s="341"/>
      <c r="H27" s="341"/>
      <c r="I27" s="341"/>
    </row>
    <row r="28" spans="1:12" ht="32.25" customHeight="1" x14ac:dyDescent="0.2">
      <c r="A28" s="50"/>
      <c r="C28" s="1071" t="s">
        <v>696</v>
      </c>
      <c r="D28" s="1071"/>
      <c r="E28" s="1071"/>
      <c r="F28" s="1071"/>
      <c r="G28" s="1071"/>
      <c r="H28" s="1071"/>
      <c r="I28" s="1071"/>
    </row>
    <row r="29" spans="1:12" ht="30" customHeight="1" x14ac:dyDescent="0.2">
      <c r="A29" s="50"/>
      <c r="C29" s="1071" t="s">
        <v>697</v>
      </c>
      <c r="D29" s="1071"/>
      <c r="E29" s="1071"/>
      <c r="F29" s="1071"/>
      <c r="G29" s="1071"/>
      <c r="H29" s="1071"/>
      <c r="I29" s="1071"/>
    </row>
    <row r="30" spans="1:12" ht="30" customHeight="1" x14ac:dyDescent="0.2">
      <c r="A30" s="50"/>
      <c r="C30" s="1071" t="s">
        <v>698</v>
      </c>
      <c r="D30" s="1071"/>
      <c r="E30" s="1071"/>
      <c r="F30" s="1071"/>
      <c r="G30" s="1071"/>
      <c r="H30" s="1071"/>
      <c r="I30" s="1071"/>
    </row>
    <row r="31" spans="1:12" ht="30" customHeight="1" x14ac:dyDescent="0.2">
      <c r="A31" s="50"/>
      <c r="C31" s="1071" t="s">
        <v>699</v>
      </c>
      <c r="D31" s="1071"/>
      <c r="E31" s="1071"/>
      <c r="F31" s="1071"/>
      <c r="G31" s="1071"/>
      <c r="H31" s="1071"/>
      <c r="I31" s="1071"/>
    </row>
    <row r="32" spans="1:12" ht="30" customHeight="1" x14ac:dyDescent="0.2">
      <c r="A32" s="50"/>
      <c r="C32" s="1071" t="s">
        <v>700</v>
      </c>
      <c r="D32" s="1071"/>
      <c r="E32" s="1071"/>
      <c r="F32" s="1071"/>
      <c r="G32" s="1071"/>
      <c r="H32" s="1071"/>
      <c r="I32" s="1071"/>
    </row>
    <row r="33" spans="1:11" ht="54" customHeight="1" x14ac:dyDescent="0.2">
      <c r="A33" s="50"/>
      <c r="C33" s="1072" t="s">
        <v>701</v>
      </c>
      <c r="D33" s="1072"/>
      <c r="E33" s="1072"/>
      <c r="F33" s="1072"/>
      <c r="G33" s="1072"/>
      <c r="H33" s="1072"/>
      <c r="I33" s="1072"/>
    </row>
    <row r="34" spans="1:11" ht="26.25" customHeight="1" x14ac:dyDescent="0.2">
      <c r="A34" s="50"/>
      <c r="C34" s="898"/>
      <c r="D34" s="899"/>
      <c r="E34" s="899"/>
      <c r="F34" s="899"/>
      <c r="G34" s="899"/>
      <c r="H34" s="899"/>
      <c r="I34" s="899"/>
    </row>
    <row r="35" spans="1:11" ht="15.75" hidden="1" customHeight="1" x14ac:dyDescent="0.2">
      <c r="A35" s="50"/>
      <c r="C35" s="896"/>
      <c r="D35" s="893"/>
      <c r="E35" s="893"/>
      <c r="F35" s="341"/>
      <c r="G35" s="341"/>
      <c r="H35" s="341"/>
      <c r="I35" s="341"/>
    </row>
    <row r="36" spans="1:11" ht="15.75" hidden="1" customHeight="1" x14ac:dyDescent="0.2">
      <c r="A36" s="50"/>
      <c r="C36" s="896"/>
      <c r="D36" s="893"/>
      <c r="E36" s="893"/>
      <c r="F36" s="341"/>
      <c r="G36" s="341"/>
      <c r="H36" s="341"/>
      <c r="I36" s="341"/>
    </row>
    <row r="37" spans="1:11" ht="15.75" hidden="1" customHeight="1" x14ac:dyDescent="0.2">
      <c r="A37" s="50"/>
      <c r="C37" s="896"/>
      <c r="D37" s="893"/>
      <c r="E37" s="893"/>
      <c r="F37" s="341"/>
      <c r="G37" s="341"/>
      <c r="H37" s="341"/>
      <c r="I37" s="341"/>
    </row>
    <row r="38" spans="1:11" ht="15.75" hidden="1" customHeight="1" x14ac:dyDescent="0.2">
      <c r="A38" s="50"/>
      <c r="C38" s="896"/>
      <c r="D38" s="341"/>
      <c r="E38" s="341"/>
      <c r="F38" s="341"/>
      <c r="G38" s="341"/>
      <c r="H38" s="341"/>
      <c r="I38" s="341"/>
      <c r="K38" s="53"/>
    </row>
    <row r="39" spans="1:11" ht="15.75" hidden="1" customHeight="1" x14ac:dyDescent="0.2">
      <c r="A39" s="50"/>
      <c r="C39" s="896"/>
      <c r="D39" s="893"/>
      <c r="E39" s="893"/>
      <c r="F39" s="341"/>
      <c r="G39" s="341"/>
      <c r="H39" s="341"/>
      <c r="I39" s="341"/>
    </row>
    <row r="40" spans="1:11" ht="15.75" hidden="1" customHeight="1" x14ac:dyDescent="0.2">
      <c r="A40" s="50"/>
      <c r="C40" s="896"/>
      <c r="D40" s="893"/>
      <c r="E40" s="893"/>
      <c r="F40" s="341"/>
      <c r="G40" s="341"/>
      <c r="H40" s="341"/>
      <c r="I40" s="341"/>
    </row>
    <row r="41" spans="1:11" ht="15.75" hidden="1" customHeight="1" x14ac:dyDescent="0.2">
      <c r="A41" s="50"/>
      <c r="C41" s="895"/>
      <c r="D41" s="893"/>
      <c r="E41" s="893"/>
      <c r="F41" s="341"/>
      <c r="G41" s="341"/>
      <c r="H41" s="341"/>
      <c r="I41" s="341"/>
    </row>
    <row r="42" spans="1:11" ht="15.75" hidden="1" customHeight="1" x14ac:dyDescent="0.2">
      <c r="A42" s="50"/>
      <c r="C42" s="895"/>
      <c r="D42" s="893"/>
      <c r="E42" s="893"/>
      <c r="F42" s="341"/>
      <c r="G42" s="341"/>
      <c r="H42" s="341"/>
      <c r="I42" s="341"/>
    </row>
    <row r="43" spans="1:11" ht="15.75" hidden="1" customHeight="1" x14ac:dyDescent="0.2">
      <c r="A43" s="50"/>
      <c r="C43" s="896"/>
      <c r="D43" s="893"/>
      <c r="E43" s="893"/>
      <c r="F43" s="341"/>
      <c r="G43" s="341"/>
      <c r="H43" s="341"/>
      <c r="I43" s="341"/>
    </row>
    <row r="44" spans="1:11" ht="15.75" hidden="1" customHeight="1" x14ac:dyDescent="0.2">
      <c r="A44" s="50"/>
      <c r="C44" s="896"/>
      <c r="D44" s="893"/>
      <c r="E44" s="893"/>
      <c r="F44" s="341"/>
      <c r="G44" s="341"/>
      <c r="H44" s="341"/>
      <c r="I44" s="341"/>
    </row>
    <row r="45" spans="1:11" ht="15.75" hidden="1" customHeight="1" x14ac:dyDescent="0.2">
      <c r="A45" s="50"/>
      <c r="C45" s="896"/>
      <c r="D45" s="893"/>
      <c r="E45" s="893"/>
      <c r="F45" s="341"/>
      <c r="G45" s="341"/>
      <c r="H45" s="341"/>
      <c r="I45" s="341"/>
    </row>
    <row r="46" spans="1:11" ht="15.75" hidden="1" customHeight="1" x14ac:dyDescent="0.2">
      <c r="A46" s="50"/>
      <c r="C46" s="896"/>
      <c r="D46" s="893"/>
      <c r="E46" s="893"/>
      <c r="F46" s="341"/>
      <c r="G46" s="341"/>
      <c r="H46" s="341"/>
      <c r="I46" s="341"/>
    </row>
    <row r="47" spans="1:11" ht="16.350000000000001" hidden="1" customHeight="1" x14ac:dyDescent="0.2">
      <c r="A47" s="50"/>
      <c r="C47" s="896"/>
      <c r="D47" s="893"/>
      <c r="E47" s="893"/>
      <c r="F47" s="341"/>
      <c r="G47" s="341"/>
      <c r="H47" s="341"/>
      <c r="I47" s="341"/>
    </row>
    <row r="48" spans="1:11" ht="15.75" hidden="1" customHeight="1" x14ac:dyDescent="0.2">
      <c r="A48" s="50"/>
      <c r="C48" s="896"/>
      <c r="D48" s="893"/>
      <c r="E48" s="893"/>
      <c r="F48" s="341"/>
      <c r="G48" s="341"/>
      <c r="H48" s="341"/>
      <c r="I48" s="341"/>
    </row>
    <row r="49" spans="1:9" ht="15.75" hidden="1" customHeight="1" x14ac:dyDescent="0.2">
      <c r="A49" s="50"/>
      <c r="C49" s="341"/>
      <c r="D49" s="893"/>
      <c r="E49" s="893"/>
      <c r="F49" s="341"/>
      <c r="G49" s="341"/>
      <c r="H49" s="341"/>
      <c r="I49" s="341"/>
    </row>
    <row r="50" spans="1:9" ht="15.75" hidden="1" customHeight="1" x14ac:dyDescent="0.2">
      <c r="A50" s="50"/>
      <c r="C50" s="341"/>
      <c r="D50" s="893"/>
      <c r="E50" s="893"/>
      <c r="F50" s="341"/>
      <c r="G50" s="341"/>
      <c r="H50" s="341"/>
      <c r="I50" s="341"/>
    </row>
    <row r="51" spans="1:9" ht="15.75" hidden="1" customHeight="1" x14ac:dyDescent="0.2">
      <c r="A51" s="50"/>
      <c r="C51" s="341"/>
      <c r="D51" s="893"/>
      <c r="E51" s="1073" t="s">
        <v>702</v>
      </c>
      <c r="F51" s="1073"/>
      <c r="G51" s="341"/>
      <c r="H51" s="341"/>
      <c r="I51" s="341"/>
    </row>
    <row r="52" spans="1:9" ht="15.75" hidden="1" customHeight="1" x14ac:dyDescent="0.2">
      <c r="A52" s="50"/>
      <c r="C52" s="341"/>
      <c r="D52" s="893"/>
      <c r="E52" s="341"/>
      <c r="F52" s="341"/>
      <c r="G52" s="341"/>
      <c r="H52" s="341"/>
      <c r="I52" s="341"/>
    </row>
    <row r="53" spans="1:9" ht="15.75" hidden="1" customHeight="1" x14ac:dyDescent="0.2">
      <c r="A53" s="50"/>
      <c r="C53" s="341"/>
      <c r="D53" s="893"/>
      <c r="E53" s="341"/>
      <c r="F53" s="341"/>
      <c r="G53" s="341"/>
      <c r="H53" s="341"/>
      <c r="I53" s="341"/>
    </row>
    <row r="54" spans="1:9" ht="15.75" hidden="1" customHeight="1" x14ac:dyDescent="0.2">
      <c r="A54" s="50"/>
      <c r="C54" s="341"/>
      <c r="D54" s="893"/>
      <c r="E54" s="341"/>
      <c r="F54" s="341"/>
      <c r="G54" s="341"/>
      <c r="H54" s="341"/>
      <c r="I54" s="341"/>
    </row>
    <row r="55" spans="1:9" ht="15.75" hidden="1" customHeight="1" x14ac:dyDescent="0.2">
      <c r="A55" s="50"/>
      <c r="C55" s="341"/>
      <c r="D55" s="893"/>
      <c r="E55" s="893"/>
      <c r="F55" s="341"/>
      <c r="G55" s="341"/>
      <c r="H55" s="341"/>
      <c r="I55" s="341"/>
    </row>
    <row r="56" spans="1:9" ht="15.75" hidden="1" customHeight="1" x14ac:dyDescent="0.2">
      <c r="A56" s="50"/>
      <c r="C56" s="900" t="s">
        <v>703</v>
      </c>
      <c r="D56" s="893"/>
      <c r="E56" s="893"/>
      <c r="F56" s="341"/>
      <c r="G56" s="341"/>
      <c r="H56" s="341"/>
      <c r="I56" s="341"/>
    </row>
    <row r="57" spans="1:9" ht="15.75" hidden="1" customHeight="1" x14ac:dyDescent="0.2">
      <c r="A57" s="50"/>
      <c r="C57" s="900"/>
      <c r="D57" s="893"/>
      <c r="E57" s="893"/>
      <c r="F57" s="341"/>
      <c r="G57" s="341"/>
      <c r="H57" s="341"/>
      <c r="I57" s="341"/>
    </row>
    <row r="58" spans="1:9" hidden="1" x14ac:dyDescent="0.2">
      <c r="A58" s="50"/>
      <c r="C58" s="896" t="s">
        <v>704</v>
      </c>
      <c r="D58" s="893"/>
      <c r="E58" s="893"/>
      <c r="F58" s="341"/>
      <c r="G58" s="341"/>
      <c r="H58" s="341"/>
      <c r="I58" s="341"/>
    </row>
    <row r="59" spans="1:9" ht="15.75" hidden="1" customHeight="1" x14ac:dyDescent="0.2">
      <c r="A59" s="50"/>
      <c r="C59" s="896" t="s">
        <v>705</v>
      </c>
      <c r="D59" s="901"/>
      <c r="E59" s="901"/>
      <c r="F59" s="341"/>
      <c r="G59" s="341"/>
      <c r="H59" s="341"/>
      <c r="I59" s="341"/>
    </row>
    <row r="60" spans="1:9" ht="15.75" hidden="1" customHeight="1" x14ac:dyDescent="0.2">
      <c r="A60" s="50"/>
      <c r="C60" s="896"/>
      <c r="D60" s="893"/>
      <c r="E60" s="893"/>
      <c r="F60" s="341"/>
      <c r="G60" s="341"/>
      <c r="H60" s="341"/>
      <c r="I60" s="341"/>
    </row>
    <row r="61" spans="1:9" ht="15.75" hidden="1" customHeight="1" x14ac:dyDescent="0.2">
      <c r="A61" s="50"/>
      <c r="C61" s="896" t="s">
        <v>706</v>
      </c>
      <c r="D61" s="893"/>
      <c r="E61" s="893"/>
      <c r="F61" s="341"/>
      <c r="G61" s="341"/>
      <c r="H61" s="341"/>
      <c r="I61" s="341"/>
    </row>
    <row r="62" spans="1:9" ht="15.75" hidden="1" customHeight="1" x14ac:dyDescent="0.2">
      <c r="A62" s="50"/>
      <c r="C62" s="895" t="s">
        <v>707</v>
      </c>
      <c r="D62" s="893"/>
      <c r="E62" s="893"/>
      <c r="F62" s="341"/>
      <c r="G62" s="341"/>
      <c r="H62" s="341"/>
      <c r="I62" s="341"/>
    </row>
    <row r="63" spans="1:9" ht="15.75" hidden="1" customHeight="1" x14ac:dyDescent="0.2">
      <c r="A63" s="50"/>
      <c r="C63" s="895" t="s">
        <v>708</v>
      </c>
      <c r="D63" s="893"/>
      <c r="E63" s="893"/>
      <c r="F63" s="341"/>
      <c r="G63" s="341"/>
      <c r="H63" s="341"/>
      <c r="I63" s="341"/>
    </row>
    <row r="64" spans="1:9" ht="15.75" hidden="1" customHeight="1" x14ac:dyDescent="0.2">
      <c r="A64" s="50"/>
      <c r="C64" s="895"/>
      <c r="D64" s="893"/>
      <c r="E64" s="893"/>
      <c r="F64" s="341"/>
      <c r="G64" s="341"/>
      <c r="H64" s="341"/>
      <c r="I64" s="341"/>
    </row>
    <row r="65" spans="1:9" ht="15.75" hidden="1" customHeight="1" x14ac:dyDescent="0.2">
      <c r="A65" s="50"/>
      <c r="C65" s="896" t="s">
        <v>709</v>
      </c>
      <c r="D65" s="893"/>
      <c r="E65" s="893"/>
      <c r="F65" s="341"/>
      <c r="G65" s="341"/>
      <c r="H65" s="341"/>
      <c r="I65" s="341"/>
    </row>
    <row r="66" spans="1:9" ht="15.75" hidden="1" customHeight="1" x14ac:dyDescent="0.2">
      <c r="A66" s="50"/>
      <c r="C66" s="896" t="s">
        <v>710</v>
      </c>
      <c r="D66" s="893"/>
      <c r="E66" s="893"/>
      <c r="F66" s="341"/>
      <c r="G66" s="341"/>
      <c r="H66" s="341"/>
      <c r="I66" s="341"/>
    </row>
    <row r="67" spans="1:9" ht="15.75" hidden="1" customHeight="1" x14ac:dyDescent="0.2">
      <c r="A67" s="50"/>
      <c r="C67" s="896" t="s">
        <v>711</v>
      </c>
      <c r="D67" s="893"/>
      <c r="E67" s="893"/>
      <c r="F67" s="341"/>
      <c r="G67" s="341"/>
      <c r="H67" s="341"/>
      <c r="I67" s="341"/>
    </row>
    <row r="68" spans="1:9" ht="15.75" hidden="1" customHeight="1" x14ac:dyDescent="0.2">
      <c r="A68" s="50"/>
      <c r="C68" s="896" t="s">
        <v>712</v>
      </c>
      <c r="D68" s="893"/>
      <c r="E68" s="893"/>
      <c r="F68" s="341"/>
      <c r="G68" s="341"/>
      <c r="H68" s="341"/>
      <c r="I68" s="341"/>
    </row>
    <row r="69" spans="1:9" ht="15.75" hidden="1" customHeight="1" x14ac:dyDescent="0.2">
      <c r="A69" s="50"/>
      <c r="C69" s="896"/>
      <c r="D69" s="893"/>
      <c r="E69" s="893"/>
      <c r="F69" s="341"/>
      <c r="G69" s="341"/>
      <c r="H69" s="341"/>
      <c r="I69" s="341"/>
    </row>
    <row r="70" spans="1:9" ht="15.75" hidden="1" customHeight="1" x14ac:dyDescent="0.2">
      <c r="A70" s="50"/>
      <c r="C70" s="896"/>
      <c r="D70" s="893"/>
      <c r="E70" s="893"/>
      <c r="F70" s="341"/>
      <c r="G70" s="341"/>
      <c r="H70" s="341"/>
      <c r="I70" s="341"/>
    </row>
    <row r="71" spans="1:9" ht="15.75" customHeight="1" x14ac:dyDescent="0.2">
      <c r="A71" s="50"/>
      <c r="C71" s="897" t="s">
        <v>713</v>
      </c>
      <c r="D71" s="893"/>
      <c r="E71" s="893"/>
      <c r="F71" s="341"/>
      <c r="G71" s="341"/>
      <c r="H71" s="341"/>
      <c r="I71" s="341"/>
    </row>
    <row r="72" spans="1:9" ht="15.75" hidden="1" customHeight="1" x14ac:dyDescent="0.2">
      <c r="A72" s="50"/>
      <c r="C72" s="902"/>
      <c r="D72" s="893"/>
      <c r="E72" s="893"/>
      <c r="F72" s="341"/>
      <c r="G72" s="341"/>
      <c r="H72" s="341"/>
      <c r="I72" s="341"/>
    </row>
    <row r="73" spans="1:9" ht="15.75" customHeight="1" x14ac:dyDescent="0.2">
      <c r="A73" s="50"/>
      <c r="C73" s="896" t="s">
        <v>714</v>
      </c>
      <c r="D73" s="893"/>
      <c r="E73" s="893"/>
      <c r="F73" s="341"/>
      <c r="G73" s="341"/>
      <c r="H73" s="341"/>
      <c r="I73" s="341"/>
    </row>
    <row r="74" spans="1:9" ht="15.75" customHeight="1" x14ac:dyDescent="0.2">
      <c r="A74" s="50"/>
      <c r="C74" s="896" t="s">
        <v>715</v>
      </c>
      <c r="D74" s="893"/>
      <c r="E74" s="893"/>
      <c r="F74" s="341"/>
      <c r="G74" s="341"/>
      <c r="H74" s="341"/>
      <c r="I74" s="341"/>
    </row>
    <row r="75" spans="1:9" ht="15.75" customHeight="1" x14ac:dyDescent="0.2">
      <c r="A75" s="50"/>
      <c r="C75" s="896" t="s">
        <v>716</v>
      </c>
      <c r="D75" s="893"/>
      <c r="E75" s="893"/>
      <c r="F75" s="341"/>
      <c r="G75" s="341"/>
      <c r="H75" s="341"/>
      <c r="I75" s="341"/>
    </row>
    <row r="76" spans="1:9" ht="15.75" customHeight="1" x14ac:dyDescent="0.2">
      <c r="A76" s="50"/>
      <c r="C76" s="896" t="s">
        <v>717</v>
      </c>
      <c r="D76" s="893"/>
      <c r="E76" s="893"/>
      <c r="F76" s="341"/>
      <c r="G76" s="341"/>
      <c r="H76" s="341"/>
      <c r="I76" s="341"/>
    </row>
    <row r="77" spans="1:9" ht="15.75" customHeight="1" x14ac:dyDescent="0.2">
      <c r="A77" s="50"/>
      <c r="C77" s="896" t="s">
        <v>718</v>
      </c>
      <c r="D77" s="893"/>
      <c r="E77" s="893"/>
      <c r="F77" s="341"/>
      <c r="G77" s="341"/>
      <c r="H77" s="341"/>
      <c r="I77" s="341"/>
    </row>
    <row r="78" spans="1:9" ht="15.75" customHeight="1" x14ac:dyDescent="0.2">
      <c r="A78" s="50"/>
      <c r="C78" s="896" t="s">
        <v>719</v>
      </c>
      <c r="D78" s="893"/>
      <c r="E78" s="893"/>
      <c r="F78" s="341"/>
      <c r="G78" s="341"/>
      <c r="H78" s="341"/>
      <c r="I78" s="341"/>
    </row>
    <row r="79" spans="1:9" ht="15.75" hidden="1" customHeight="1" x14ac:dyDescent="0.2">
      <c r="A79" s="50"/>
      <c r="C79" s="896"/>
      <c r="D79" s="893"/>
      <c r="E79" s="893"/>
      <c r="F79" s="341"/>
      <c r="G79" s="341"/>
      <c r="H79" s="341"/>
      <c r="I79" s="341"/>
    </row>
    <row r="80" spans="1:9" ht="15.75" customHeight="1" x14ac:dyDescent="0.2">
      <c r="A80" s="50"/>
      <c r="C80" s="896" t="s">
        <v>720</v>
      </c>
      <c r="D80" s="893"/>
      <c r="E80" s="893"/>
      <c r="F80" s="341"/>
      <c r="G80" s="341"/>
      <c r="H80" s="341"/>
      <c r="I80" s="341"/>
    </row>
    <row r="81" spans="1:9" ht="15.75" customHeight="1" x14ac:dyDescent="0.2">
      <c r="A81" s="50"/>
      <c r="C81" s="896" t="s">
        <v>721</v>
      </c>
      <c r="D81" s="893"/>
      <c r="E81" s="893"/>
      <c r="F81" s="341"/>
      <c r="G81" s="341"/>
      <c r="H81" s="341"/>
      <c r="I81" s="341"/>
    </row>
    <row r="82" spans="1:9" ht="15.75" hidden="1" customHeight="1" x14ac:dyDescent="0.2">
      <c r="A82" s="50"/>
      <c r="C82" s="896"/>
      <c r="D82" s="893"/>
      <c r="E82" s="893"/>
      <c r="F82" s="341"/>
      <c r="G82" s="341"/>
      <c r="H82" s="341"/>
      <c r="I82" s="341"/>
    </row>
    <row r="83" spans="1:9" ht="15.75" customHeight="1" x14ac:dyDescent="0.2">
      <c r="A83" s="50"/>
      <c r="C83" s="896"/>
      <c r="D83" s="893"/>
      <c r="E83" s="893"/>
      <c r="F83" s="341"/>
      <c r="G83" s="341"/>
      <c r="H83" s="341"/>
      <c r="I83" s="341"/>
    </row>
    <row r="84" spans="1:9" ht="15.75" hidden="1" customHeight="1" x14ac:dyDescent="0.2">
      <c r="A84" s="50"/>
      <c r="C84" s="897" t="s">
        <v>722</v>
      </c>
      <c r="D84" s="893"/>
      <c r="E84" s="893"/>
      <c r="F84" s="341"/>
      <c r="G84" s="341"/>
      <c r="H84" s="341"/>
      <c r="I84" s="341"/>
    </row>
    <row r="85" spans="1:9" ht="15.75" hidden="1" customHeight="1" x14ac:dyDescent="0.2">
      <c r="A85" s="50"/>
      <c r="C85" s="895"/>
      <c r="D85" s="893"/>
      <c r="E85" s="893"/>
      <c r="F85" s="341"/>
      <c r="G85" s="341"/>
      <c r="H85" s="341"/>
      <c r="I85" s="341"/>
    </row>
    <row r="86" spans="1:9" ht="15.75" hidden="1" customHeight="1" x14ac:dyDescent="0.2">
      <c r="A86" s="50"/>
      <c r="C86" s="902" t="s">
        <v>36</v>
      </c>
      <c r="D86" s="893"/>
      <c r="E86" s="893"/>
      <c r="F86" s="341"/>
      <c r="G86" s="341"/>
      <c r="H86" s="341"/>
      <c r="I86" s="341"/>
    </row>
    <row r="87" spans="1:9" ht="15.75" hidden="1" customHeight="1" x14ac:dyDescent="0.2">
      <c r="A87" s="50"/>
      <c r="C87" s="895" t="s">
        <v>723</v>
      </c>
      <c r="D87" s="893"/>
      <c r="E87" s="893"/>
      <c r="F87" s="341"/>
      <c r="G87" s="341"/>
      <c r="H87" s="341"/>
      <c r="I87" s="341"/>
    </row>
    <row r="88" spans="1:9" ht="15.75" hidden="1" customHeight="1" x14ac:dyDescent="0.2">
      <c r="A88" s="50"/>
      <c r="C88" s="895" t="s">
        <v>724</v>
      </c>
      <c r="D88" s="893"/>
      <c r="E88" s="893"/>
      <c r="F88" s="341"/>
      <c r="G88" s="341"/>
      <c r="H88" s="341"/>
      <c r="I88" s="341"/>
    </row>
    <row r="89" spans="1:9" ht="15.75" hidden="1" customHeight="1" x14ac:dyDescent="0.2">
      <c r="A89" s="50"/>
      <c r="C89" s="895" t="s">
        <v>725</v>
      </c>
      <c r="D89" s="893"/>
      <c r="E89" s="893"/>
      <c r="F89" s="341"/>
      <c r="G89" s="341"/>
      <c r="H89" s="341"/>
      <c r="I89" s="341"/>
    </row>
    <row r="90" spans="1:9" ht="15.75" hidden="1" customHeight="1" x14ac:dyDescent="0.2">
      <c r="A90" s="50"/>
      <c r="C90" s="895" t="s">
        <v>726</v>
      </c>
      <c r="D90" s="893"/>
      <c r="E90" s="893"/>
      <c r="F90" s="341"/>
      <c r="G90" s="341"/>
      <c r="H90" s="341"/>
      <c r="I90" s="341"/>
    </row>
    <row r="91" spans="1:9" ht="15.75" hidden="1" customHeight="1" x14ac:dyDescent="0.2">
      <c r="A91" s="50"/>
      <c r="C91" s="895" t="s">
        <v>727</v>
      </c>
      <c r="D91" s="893"/>
      <c r="E91" s="893"/>
      <c r="F91" s="341"/>
      <c r="G91" s="341"/>
      <c r="H91" s="341"/>
      <c r="I91" s="341"/>
    </row>
    <row r="92" spans="1:9" ht="15.75" hidden="1" customHeight="1" x14ac:dyDescent="0.2">
      <c r="A92" s="50"/>
      <c r="C92" s="896"/>
      <c r="D92" s="893"/>
      <c r="E92" s="893"/>
      <c r="F92" s="341"/>
      <c r="G92" s="341"/>
      <c r="H92" s="341"/>
      <c r="I92" s="341"/>
    </row>
    <row r="93" spans="1:9" ht="15.75" hidden="1" customHeight="1" x14ac:dyDescent="0.2">
      <c r="A93" s="50"/>
      <c r="C93" s="895" t="s">
        <v>728</v>
      </c>
      <c r="D93" s="893"/>
      <c r="E93" s="893"/>
      <c r="F93" s="341"/>
      <c r="G93" s="341"/>
      <c r="H93" s="341"/>
      <c r="I93" s="341"/>
    </row>
    <row r="94" spans="1:9" ht="15.75" hidden="1" customHeight="1" x14ac:dyDescent="0.2">
      <c r="A94" s="50"/>
      <c r="C94" s="895" t="s">
        <v>729</v>
      </c>
      <c r="D94" s="893"/>
      <c r="E94" s="893"/>
      <c r="F94" s="341"/>
      <c r="G94" s="341"/>
      <c r="H94" s="341"/>
      <c r="I94" s="341"/>
    </row>
    <row r="95" spans="1:9" ht="15.75" hidden="1" customHeight="1" x14ac:dyDescent="0.2">
      <c r="A95" s="50"/>
      <c r="C95" s="895" t="s">
        <v>730</v>
      </c>
      <c r="D95" s="893"/>
      <c r="E95" s="893"/>
      <c r="F95" s="341"/>
      <c r="G95" s="341"/>
      <c r="H95" s="341"/>
      <c r="I95" s="341"/>
    </row>
    <row r="96" spans="1:9" ht="15.75" hidden="1" customHeight="1" x14ac:dyDescent="0.2">
      <c r="A96" s="50"/>
      <c r="C96" s="895" t="s">
        <v>731</v>
      </c>
      <c r="D96" s="893"/>
      <c r="E96" s="893"/>
      <c r="F96" s="341"/>
      <c r="G96" s="341"/>
      <c r="H96" s="341"/>
      <c r="I96" s="341"/>
    </row>
    <row r="97" spans="1:12" ht="15.75" hidden="1" customHeight="1" x14ac:dyDescent="0.2">
      <c r="A97" s="50"/>
      <c r="C97" s="895" t="s">
        <v>732</v>
      </c>
      <c r="D97" s="893"/>
      <c r="E97" s="893"/>
      <c r="F97" s="341"/>
      <c r="G97" s="341"/>
      <c r="H97" s="341"/>
      <c r="I97" s="341"/>
    </row>
    <row r="98" spans="1:12" ht="15.75" hidden="1" customHeight="1" x14ac:dyDescent="0.2">
      <c r="A98" s="50"/>
      <c r="C98" s="893"/>
      <c r="D98" s="893"/>
      <c r="E98" s="893"/>
      <c r="F98" s="341"/>
      <c r="G98" s="341"/>
      <c r="H98" s="341"/>
      <c r="I98" s="341"/>
    </row>
    <row r="99" spans="1:12" ht="15.75" hidden="1" customHeight="1" x14ac:dyDescent="0.2">
      <c r="A99" s="50"/>
      <c r="C99" s="893"/>
      <c r="D99" s="893"/>
      <c r="E99" s="1074"/>
      <c r="F99" s="1074"/>
      <c r="G99" s="341"/>
      <c r="H99" s="341"/>
      <c r="I99" s="341"/>
    </row>
    <row r="100" spans="1:12" ht="15.75" hidden="1" customHeight="1" x14ac:dyDescent="0.2">
      <c r="A100" s="50"/>
      <c r="C100" s="893"/>
      <c r="D100" s="893"/>
      <c r="E100" s="1074" t="s">
        <v>733</v>
      </c>
      <c r="F100" s="1074"/>
      <c r="G100" s="341"/>
      <c r="H100" s="341"/>
      <c r="I100" s="341"/>
    </row>
    <row r="101" spans="1:12" ht="15.75" hidden="1" customHeight="1" x14ac:dyDescent="0.2">
      <c r="A101" s="50"/>
      <c r="C101" s="893"/>
      <c r="D101" s="893"/>
      <c r="E101" s="341"/>
      <c r="F101" s="341"/>
      <c r="G101" s="341"/>
      <c r="H101" s="341"/>
      <c r="I101" s="341"/>
    </row>
    <row r="102" spans="1:12" ht="15.75" hidden="1" customHeight="1" x14ac:dyDescent="0.2">
      <c r="A102" s="50"/>
      <c r="C102" s="893"/>
      <c r="D102" s="893"/>
      <c r="E102" s="893"/>
      <c r="F102" s="341"/>
      <c r="G102" s="341"/>
      <c r="H102" s="341"/>
      <c r="I102" s="341"/>
    </row>
    <row r="103" spans="1:12" ht="15.75" hidden="1" customHeight="1" x14ac:dyDescent="0.2">
      <c r="A103" s="50"/>
      <c r="C103" s="893"/>
      <c r="D103" s="893"/>
      <c r="E103" s="893"/>
      <c r="F103" s="341"/>
      <c r="G103" s="341"/>
      <c r="H103" s="341"/>
      <c r="I103" s="341"/>
    </row>
    <row r="104" spans="1:12" ht="15.75" hidden="1" customHeight="1" x14ac:dyDescent="0.2">
      <c r="A104" s="50"/>
      <c r="C104" s="893"/>
      <c r="D104" s="893"/>
      <c r="E104" s="893"/>
      <c r="F104" s="341"/>
      <c r="G104" s="341"/>
      <c r="H104" s="341"/>
      <c r="I104" s="341"/>
    </row>
    <row r="105" spans="1:12" ht="15.75" hidden="1" customHeight="1" x14ac:dyDescent="0.2">
      <c r="A105" s="50"/>
      <c r="C105" s="893"/>
      <c r="D105" s="893"/>
      <c r="E105" s="893"/>
      <c r="F105" s="341"/>
      <c r="G105" s="341"/>
      <c r="H105" s="341"/>
      <c r="I105" s="341"/>
    </row>
    <row r="106" spans="1:12" ht="15.75" hidden="1" customHeight="1" x14ac:dyDescent="0.2">
      <c r="A106" s="50"/>
      <c r="C106" s="902" t="s">
        <v>37</v>
      </c>
      <c r="D106" s="893"/>
      <c r="E106" s="893"/>
      <c r="F106" s="341"/>
      <c r="G106" s="341"/>
      <c r="H106" s="341"/>
      <c r="I106" s="341"/>
    </row>
    <row r="107" spans="1:12" ht="15.75" hidden="1" customHeight="1" x14ac:dyDescent="0.2">
      <c r="A107" s="50"/>
      <c r="C107" s="895" t="s">
        <v>734</v>
      </c>
      <c r="D107" s="893"/>
      <c r="E107" s="893"/>
      <c r="F107" s="341"/>
      <c r="G107" s="341"/>
      <c r="H107" s="341"/>
      <c r="I107" s="341"/>
    </row>
    <row r="108" spans="1:12" ht="15.4" hidden="1" customHeight="1" x14ac:dyDescent="0.25">
      <c r="A108" s="50"/>
      <c r="C108" s="895" t="s">
        <v>735</v>
      </c>
      <c r="D108" s="893"/>
      <c r="E108" s="893"/>
      <c r="F108" s="341"/>
      <c r="G108" s="341"/>
      <c r="H108" s="341"/>
      <c r="I108" s="341"/>
      <c r="L108" s="903"/>
    </row>
    <row r="109" spans="1:12" ht="16.350000000000001" hidden="1" customHeight="1" x14ac:dyDescent="0.2">
      <c r="A109" s="50"/>
      <c r="C109" s="895" t="s">
        <v>736</v>
      </c>
      <c r="D109" s="893"/>
      <c r="E109" s="893"/>
      <c r="F109" s="341"/>
      <c r="G109" s="341"/>
      <c r="H109" s="341"/>
      <c r="I109" s="341"/>
    </row>
    <row r="110" spans="1:12" ht="15.4" hidden="1" customHeight="1" x14ac:dyDescent="0.2">
      <c r="A110" s="50"/>
      <c r="C110" s="895" t="s">
        <v>737</v>
      </c>
      <c r="D110" s="893"/>
      <c r="E110" s="893"/>
      <c r="F110" s="341"/>
      <c r="G110" s="341"/>
      <c r="H110" s="341"/>
      <c r="I110" s="341"/>
    </row>
    <row r="111" spans="1:12" ht="15.4" hidden="1" customHeight="1" x14ac:dyDescent="0.2">
      <c r="A111" s="50"/>
      <c r="C111" s="895"/>
      <c r="D111" s="893"/>
      <c r="E111" s="893"/>
      <c r="F111" s="341"/>
      <c r="G111" s="341"/>
      <c r="H111" s="341"/>
      <c r="I111" s="341"/>
    </row>
    <row r="112" spans="1:12" ht="15.4" hidden="1" customHeight="1" x14ac:dyDescent="0.2">
      <c r="A112" s="50"/>
      <c r="C112" s="902" t="s">
        <v>738</v>
      </c>
      <c r="D112" s="893"/>
      <c r="E112" s="893"/>
      <c r="F112" s="341"/>
      <c r="G112" s="341"/>
      <c r="H112" s="341"/>
      <c r="I112" s="341"/>
    </row>
    <row r="113" spans="1:9" ht="15.4" hidden="1" customHeight="1" x14ac:dyDescent="0.2">
      <c r="A113" s="50"/>
      <c r="C113" s="895" t="s">
        <v>739</v>
      </c>
      <c r="D113" s="893"/>
      <c r="E113" s="893"/>
      <c r="F113" s="341"/>
      <c r="G113" s="341"/>
      <c r="H113" s="341"/>
      <c r="I113" s="341"/>
    </row>
    <row r="114" spans="1:9" ht="15.4" hidden="1" customHeight="1" x14ac:dyDescent="0.2">
      <c r="A114" s="50"/>
      <c r="C114" s="895" t="s">
        <v>740</v>
      </c>
      <c r="D114" s="893"/>
      <c r="E114" s="893"/>
      <c r="F114" s="341"/>
      <c r="G114" s="341"/>
      <c r="H114" s="341"/>
      <c r="I114" s="341"/>
    </row>
    <row r="115" spans="1:9" ht="15.4" hidden="1" customHeight="1" x14ac:dyDescent="0.2">
      <c r="A115" s="50"/>
      <c r="C115" s="895" t="s">
        <v>741</v>
      </c>
      <c r="D115" s="893"/>
      <c r="E115" s="893"/>
      <c r="F115" s="341"/>
      <c r="G115" s="341"/>
      <c r="H115" s="341"/>
      <c r="I115" s="341"/>
    </row>
    <row r="116" spans="1:9" ht="15.4" hidden="1" customHeight="1" x14ac:dyDescent="0.2">
      <c r="A116" s="50"/>
      <c r="C116" s="895" t="s">
        <v>742</v>
      </c>
      <c r="D116" s="893"/>
      <c r="E116" s="893"/>
      <c r="F116" s="341"/>
      <c r="G116" s="341"/>
      <c r="H116" s="341"/>
      <c r="I116" s="341"/>
    </row>
    <row r="117" spans="1:9" ht="15.4" hidden="1" customHeight="1" x14ac:dyDescent="0.2">
      <c r="A117" s="50"/>
      <c r="C117" s="895"/>
      <c r="D117" s="893"/>
      <c r="E117" s="893"/>
      <c r="F117" s="341"/>
      <c r="G117" s="341"/>
      <c r="H117" s="341"/>
      <c r="I117" s="341"/>
    </row>
    <row r="118" spans="1:9" ht="15.4" hidden="1" customHeight="1" x14ac:dyDescent="0.2">
      <c r="A118" s="50"/>
      <c r="C118" s="895" t="s">
        <v>743</v>
      </c>
      <c r="D118" s="893"/>
      <c r="E118" s="893"/>
      <c r="F118" s="341"/>
      <c r="G118" s="341"/>
      <c r="H118" s="341"/>
      <c r="I118" s="341"/>
    </row>
    <row r="119" spans="1:9" ht="15.4" hidden="1" customHeight="1" x14ac:dyDescent="0.2">
      <c r="A119" s="50"/>
      <c r="C119" s="895" t="s">
        <v>744</v>
      </c>
      <c r="D119" s="893"/>
      <c r="E119" s="893"/>
      <c r="F119" s="341"/>
      <c r="G119" s="341"/>
      <c r="H119" s="341"/>
      <c r="I119" s="341"/>
    </row>
    <row r="120" spans="1:9" ht="15.4" hidden="1" customHeight="1" x14ac:dyDescent="0.2">
      <c r="A120" s="50"/>
      <c r="C120" s="895" t="s">
        <v>745</v>
      </c>
      <c r="D120" s="893"/>
      <c r="E120" s="893"/>
      <c r="F120" s="341"/>
      <c r="G120" s="341"/>
      <c r="H120" s="341"/>
      <c r="I120" s="341"/>
    </row>
    <row r="121" spans="1:9" ht="15.4" hidden="1" customHeight="1" x14ac:dyDescent="0.2">
      <c r="A121" s="50"/>
      <c r="C121" s="895" t="s">
        <v>746</v>
      </c>
      <c r="D121" s="893"/>
      <c r="E121" s="893"/>
      <c r="F121" s="341"/>
      <c r="G121" s="341"/>
      <c r="H121" s="341"/>
      <c r="I121" s="341"/>
    </row>
    <row r="122" spans="1:9" ht="15.4" hidden="1" customHeight="1" x14ac:dyDescent="0.2">
      <c r="A122" s="50"/>
      <c r="C122" s="895"/>
      <c r="D122" s="893"/>
      <c r="E122" s="893"/>
      <c r="F122" s="341"/>
      <c r="G122" s="341"/>
      <c r="H122" s="341"/>
      <c r="I122" s="341"/>
    </row>
    <row r="123" spans="1:9" ht="15.4" hidden="1" customHeight="1" x14ac:dyDescent="0.2">
      <c r="A123" s="50"/>
      <c r="C123" s="896"/>
      <c r="D123" s="893"/>
      <c r="E123" s="893"/>
      <c r="F123" s="341"/>
      <c r="G123" s="341"/>
      <c r="H123" s="341"/>
      <c r="I123" s="341"/>
    </row>
    <row r="124" spans="1:9" ht="15.4" customHeight="1" x14ac:dyDescent="0.2">
      <c r="A124" s="50"/>
      <c r="C124" s="904" t="s">
        <v>747</v>
      </c>
      <c r="D124" s="893"/>
      <c r="E124" s="893"/>
      <c r="F124" s="341"/>
      <c r="G124" s="341"/>
      <c r="H124" s="341"/>
      <c r="I124" s="341"/>
    </row>
    <row r="125" spans="1:9" ht="15.4" customHeight="1" x14ac:dyDescent="0.2">
      <c r="A125" s="50"/>
      <c r="C125" s="904"/>
      <c r="D125" s="893"/>
      <c r="E125" s="893"/>
      <c r="F125" s="341"/>
      <c r="G125" s="341"/>
      <c r="H125" s="341"/>
      <c r="I125" s="341"/>
    </row>
    <row r="126" spans="1:9" x14ac:dyDescent="0.2">
      <c r="A126" s="50"/>
      <c r="C126" s="895"/>
      <c r="D126" s="893"/>
      <c r="E126" s="893"/>
      <c r="F126" s="341"/>
      <c r="G126" s="341"/>
      <c r="H126" s="341"/>
      <c r="I126" s="341"/>
    </row>
    <row r="127" spans="1:9" hidden="1" x14ac:dyDescent="0.2">
      <c r="A127" s="50"/>
      <c r="C127" s="895"/>
      <c r="D127" s="893"/>
      <c r="E127" s="893"/>
      <c r="F127" s="341"/>
      <c r="G127" s="341"/>
      <c r="H127" s="341"/>
      <c r="I127" s="341"/>
    </row>
    <row r="128" spans="1:9" hidden="1" x14ac:dyDescent="0.2">
      <c r="A128" s="50"/>
      <c r="C128" s="896"/>
      <c r="D128" s="893"/>
      <c r="E128" s="893"/>
      <c r="F128" s="341"/>
      <c r="G128" s="341"/>
      <c r="H128" s="341"/>
      <c r="I128" s="341"/>
    </row>
    <row r="129" spans="1:10" hidden="1" x14ac:dyDescent="0.2">
      <c r="A129" s="50"/>
      <c r="C129" s="895"/>
      <c r="D129" s="893"/>
      <c r="E129" s="893"/>
      <c r="F129" s="341"/>
      <c r="G129" s="341"/>
      <c r="H129" s="341"/>
      <c r="I129" s="341"/>
    </row>
    <row r="130" spans="1:10" hidden="1" x14ac:dyDescent="0.2">
      <c r="A130" s="50"/>
      <c r="C130" s="895"/>
      <c r="D130" s="893"/>
      <c r="E130" s="893"/>
      <c r="F130" s="341"/>
      <c r="G130" s="341"/>
      <c r="H130" s="341"/>
      <c r="I130" s="341"/>
    </row>
    <row r="131" spans="1:10" hidden="1" x14ac:dyDescent="0.2">
      <c r="A131" s="50"/>
      <c r="C131" s="895"/>
      <c r="D131" s="893"/>
      <c r="E131" s="893"/>
      <c r="F131" s="341"/>
      <c r="G131" s="341"/>
      <c r="H131" s="341"/>
      <c r="I131" s="341"/>
    </row>
    <row r="132" spans="1:10" hidden="1" x14ac:dyDescent="0.2">
      <c r="A132" s="50"/>
      <c r="C132" s="895"/>
      <c r="D132" s="893"/>
      <c r="E132" s="893"/>
      <c r="F132" s="341"/>
      <c r="G132" s="341"/>
      <c r="H132" s="341"/>
      <c r="I132" s="341"/>
    </row>
    <row r="133" spans="1:10" x14ac:dyDescent="0.2">
      <c r="A133" s="50"/>
      <c r="C133" s="895" t="s">
        <v>748</v>
      </c>
      <c r="D133" s="893"/>
      <c r="E133" s="893"/>
      <c r="F133" s="341"/>
      <c r="G133" s="341"/>
      <c r="H133" s="341"/>
      <c r="I133" s="341"/>
    </row>
    <row r="134" spans="1:10" x14ac:dyDescent="0.2">
      <c r="A134" s="50"/>
      <c r="C134" s="895" t="s">
        <v>749</v>
      </c>
      <c r="D134" s="893"/>
      <c r="E134" s="893"/>
      <c r="F134" s="341"/>
      <c r="G134" s="341"/>
      <c r="H134" s="341"/>
      <c r="I134" s="341"/>
    </row>
    <row r="135" spans="1:10" x14ac:dyDescent="0.2">
      <c r="A135" s="50"/>
      <c r="C135" s="893"/>
      <c r="D135" s="893"/>
      <c r="E135" s="893"/>
      <c r="F135" s="341"/>
      <c r="G135" s="341"/>
      <c r="H135" s="341"/>
      <c r="I135" s="341"/>
    </row>
    <row r="136" spans="1:10" x14ac:dyDescent="0.2">
      <c r="A136" s="50"/>
      <c r="B136" s="50"/>
      <c r="C136" s="50"/>
      <c r="D136" s="50"/>
      <c r="E136" s="50"/>
      <c r="F136" s="50"/>
      <c r="G136" s="50"/>
      <c r="H136" s="50"/>
      <c r="I136" s="50"/>
      <c r="J136" s="50"/>
    </row>
    <row r="137" spans="1:10" x14ac:dyDescent="0.2">
      <c r="A137" s="50"/>
      <c r="B137" s="50"/>
      <c r="C137" s="50"/>
      <c r="D137" s="50"/>
      <c r="E137" s="50"/>
      <c r="F137" s="50"/>
      <c r="G137" s="50"/>
      <c r="H137" s="50"/>
      <c r="I137" s="50"/>
      <c r="J137" s="50"/>
    </row>
    <row r="138" spans="1:10" x14ac:dyDescent="0.2">
      <c r="A138" s="50"/>
      <c r="B138" s="50"/>
      <c r="C138" s="50"/>
      <c r="D138" s="50"/>
      <c r="E138" s="50"/>
      <c r="F138" s="50"/>
      <c r="G138" s="50"/>
      <c r="H138" s="50"/>
      <c r="I138" s="50"/>
      <c r="J138" s="50"/>
    </row>
    <row r="139" spans="1:10" x14ac:dyDescent="0.2">
      <c r="A139" s="50"/>
      <c r="B139" s="50"/>
      <c r="C139" s="50"/>
      <c r="D139" s="50"/>
      <c r="E139" s="50"/>
      <c r="F139" s="50"/>
      <c r="G139" s="50"/>
      <c r="H139" s="50"/>
      <c r="I139" s="50"/>
      <c r="J139" s="50"/>
    </row>
    <row r="140" spans="1:10" x14ac:dyDescent="0.2">
      <c r="A140" s="50"/>
      <c r="B140" s="50"/>
      <c r="C140" s="50"/>
      <c r="D140" s="50"/>
      <c r="E140" s="50"/>
      <c r="F140" s="50"/>
      <c r="G140" s="50"/>
      <c r="H140" s="50"/>
      <c r="I140" s="50"/>
      <c r="J140" s="50"/>
    </row>
    <row r="141" spans="1:10" x14ac:dyDescent="0.2">
      <c r="A141" s="50"/>
      <c r="B141" s="50"/>
      <c r="C141" s="50"/>
      <c r="D141" s="50"/>
      <c r="E141" s="50"/>
      <c r="F141" s="50"/>
      <c r="G141" s="50"/>
      <c r="H141" s="50"/>
      <c r="I141" s="50"/>
      <c r="J141" s="50"/>
    </row>
    <row r="142" spans="1:10" x14ac:dyDescent="0.2">
      <c r="A142" s="50"/>
      <c r="B142" s="50"/>
      <c r="C142" s="50"/>
      <c r="D142" s="50"/>
      <c r="E142" s="50"/>
      <c r="F142" s="50"/>
      <c r="G142" s="50"/>
      <c r="H142" s="50"/>
      <c r="I142" s="50"/>
      <c r="J142" s="50"/>
    </row>
    <row r="143" spans="1:10" x14ac:dyDescent="0.2">
      <c r="A143" s="50"/>
      <c r="B143" s="50"/>
      <c r="C143" s="50"/>
      <c r="D143" s="50"/>
      <c r="E143" s="50"/>
      <c r="F143" s="50"/>
      <c r="G143" s="50"/>
      <c r="H143" s="50"/>
      <c r="I143" s="50"/>
      <c r="J143" s="50"/>
    </row>
    <row r="144" spans="1:10" x14ac:dyDescent="0.2">
      <c r="A144" s="50"/>
      <c r="B144" s="50"/>
      <c r="C144" s="50"/>
      <c r="D144" s="50"/>
      <c r="E144" s="50"/>
      <c r="F144" s="50"/>
      <c r="G144" s="50"/>
      <c r="H144" s="50"/>
      <c r="I144" s="50"/>
      <c r="J144" s="50"/>
    </row>
    <row r="145" spans="1:10" x14ac:dyDescent="0.2">
      <c r="A145" s="50"/>
      <c r="B145" s="50"/>
      <c r="C145" s="50"/>
      <c r="D145" s="50"/>
      <c r="E145" s="50"/>
      <c r="F145" s="50"/>
      <c r="G145" s="50"/>
      <c r="H145" s="50"/>
      <c r="I145" s="50"/>
      <c r="J145" s="50"/>
    </row>
    <row r="146" spans="1:10" x14ac:dyDescent="0.2">
      <c r="A146" s="50"/>
      <c r="B146" s="50"/>
      <c r="C146" s="50"/>
      <c r="D146" s="50"/>
      <c r="E146" s="50"/>
      <c r="F146" s="50"/>
      <c r="G146" s="50"/>
      <c r="H146" s="50"/>
      <c r="I146" s="50"/>
      <c r="J146" s="50"/>
    </row>
    <row r="147" spans="1:10" x14ac:dyDescent="0.2">
      <c r="A147" s="50"/>
      <c r="B147" s="50"/>
      <c r="C147" s="50"/>
      <c r="D147" s="50"/>
      <c r="E147" s="50"/>
      <c r="F147" s="50"/>
      <c r="G147" s="50"/>
      <c r="H147" s="50"/>
      <c r="I147" s="50"/>
      <c r="J147" s="50"/>
    </row>
    <row r="148" spans="1:10" x14ac:dyDescent="0.2">
      <c r="A148" s="50"/>
      <c r="B148" s="50"/>
      <c r="C148" s="50"/>
      <c r="D148" s="50"/>
      <c r="E148" s="50"/>
      <c r="F148" s="50"/>
      <c r="G148" s="50"/>
      <c r="H148" s="50"/>
      <c r="I148" s="50"/>
      <c r="J148" s="50"/>
    </row>
    <row r="149" spans="1:10" x14ac:dyDescent="0.2">
      <c r="A149" s="50"/>
      <c r="B149" s="50"/>
      <c r="C149" s="50"/>
      <c r="D149" s="50"/>
      <c r="E149" s="50"/>
      <c r="F149" s="50"/>
      <c r="G149" s="50"/>
      <c r="H149" s="50"/>
      <c r="I149" s="50"/>
      <c r="J149" s="50"/>
    </row>
    <row r="150" spans="1:10" x14ac:dyDescent="0.2">
      <c r="A150" s="50"/>
      <c r="B150" s="50"/>
      <c r="C150" s="50"/>
      <c r="D150" s="50"/>
      <c r="E150" s="50"/>
      <c r="F150" s="50"/>
      <c r="G150" s="50"/>
      <c r="H150" s="50"/>
      <c r="I150" s="50"/>
      <c r="J150" s="50"/>
    </row>
    <row r="151" spans="1:10" x14ac:dyDescent="0.2">
      <c r="A151" s="50"/>
      <c r="B151" s="50"/>
      <c r="C151" s="50"/>
      <c r="D151" s="50"/>
      <c r="E151" s="50"/>
      <c r="F151" s="50"/>
      <c r="G151" s="50"/>
      <c r="H151" s="50"/>
      <c r="I151" s="50"/>
      <c r="J151" s="50"/>
    </row>
    <row r="152" spans="1:10" x14ac:dyDescent="0.2">
      <c r="A152" s="50"/>
      <c r="B152" s="50"/>
      <c r="C152" s="50"/>
      <c r="D152" s="50"/>
      <c r="E152" s="50"/>
      <c r="F152" s="50"/>
      <c r="G152" s="50"/>
      <c r="H152" s="50"/>
      <c r="I152" s="50"/>
      <c r="J152" s="50"/>
    </row>
    <row r="153" spans="1:10" x14ac:dyDescent="0.2">
      <c r="A153" s="50"/>
      <c r="B153" s="50"/>
      <c r="C153" s="50"/>
      <c r="D153" s="50"/>
      <c r="E153" s="50"/>
      <c r="F153" s="50"/>
      <c r="G153" s="50"/>
      <c r="H153" s="50"/>
      <c r="I153" s="50"/>
      <c r="J153" s="50"/>
    </row>
    <row r="154" spans="1:10" x14ac:dyDescent="0.2">
      <c r="A154" s="50"/>
      <c r="B154" s="50"/>
      <c r="C154" s="50"/>
      <c r="D154" s="50"/>
      <c r="E154" s="50"/>
      <c r="F154" s="50"/>
      <c r="G154" s="50"/>
      <c r="H154" s="50"/>
      <c r="I154" s="50"/>
      <c r="J154" s="50"/>
    </row>
    <row r="155" spans="1:10" x14ac:dyDescent="0.2">
      <c r="A155" s="50"/>
      <c r="B155" s="50"/>
      <c r="C155" s="50"/>
      <c r="D155" s="50"/>
      <c r="E155" s="50"/>
      <c r="F155" s="50"/>
      <c r="G155" s="50"/>
      <c r="H155" s="50"/>
      <c r="I155" s="50"/>
      <c r="J155" s="50"/>
    </row>
    <row r="156" spans="1:10" x14ac:dyDescent="0.2">
      <c r="A156" s="50"/>
      <c r="B156" s="50"/>
      <c r="C156" s="50"/>
      <c r="D156" s="50"/>
      <c r="E156" s="50"/>
      <c r="F156" s="50"/>
      <c r="G156" s="50"/>
      <c r="H156" s="50"/>
      <c r="I156" s="50"/>
      <c r="J156" s="50"/>
    </row>
    <row r="157" spans="1:10" x14ac:dyDescent="0.2">
      <c r="A157" s="50"/>
      <c r="B157" s="50"/>
      <c r="C157" s="50"/>
      <c r="D157" s="50"/>
      <c r="E157" s="50"/>
      <c r="F157" s="50"/>
      <c r="G157" s="50"/>
      <c r="H157" s="50"/>
      <c r="I157" s="50"/>
      <c r="J157" s="50"/>
    </row>
    <row r="158" spans="1:10" x14ac:dyDescent="0.2">
      <c r="A158" s="50"/>
      <c r="B158" s="50"/>
      <c r="C158" s="50"/>
      <c r="D158" s="50"/>
      <c r="E158" s="50"/>
      <c r="F158" s="50"/>
      <c r="G158" s="50"/>
      <c r="H158" s="50"/>
      <c r="I158" s="50"/>
      <c r="J158" s="50"/>
    </row>
    <row r="159" spans="1:10" x14ac:dyDescent="0.2">
      <c r="A159" s="50"/>
      <c r="B159" s="50"/>
      <c r="C159" s="50"/>
      <c r="D159" s="50"/>
      <c r="E159" s="50"/>
      <c r="F159" s="50"/>
      <c r="G159" s="50"/>
      <c r="H159" s="50"/>
      <c r="I159" s="50"/>
      <c r="J159" s="50"/>
    </row>
    <row r="160" spans="1:10" x14ac:dyDescent="0.2">
      <c r="A160" s="50"/>
      <c r="B160" s="50"/>
      <c r="C160" s="50"/>
      <c r="D160" s="50"/>
      <c r="E160" s="50"/>
      <c r="F160" s="50"/>
      <c r="G160" s="50"/>
      <c r="H160" s="50"/>
      <c r="I160" s="50"/>
      <c r="J160" s="50"/>
    </row>
    <row r="161" spans="1:10" x14ac:dyDescent="0.2">
      <c r="A161" s="50"/>
      <c r="B161" s="50"/>
      <c r="C161" s="50"/>
      <c r="D161" s="50"/>
      <c r="E161" s="50"/>
      <c r="F161" s="50"/>
      <c r="G161" s="50"/>
      <c r="H161" s="50"/>
      <c r="I161" s="50"/>
      <c r="J161" s="50"/>
    </row>
    <row r="162" spans="1:10" x14ac:dyDescent="0.2">
      <c r="A162" s="50"/>
      <c r="B162" s="50"/>
      <c r="C162" s="50"/>
      <c r="D162" s="50"/>
      <c r="E162" s="50"/>
      <c r="F162" s="50"/>
      <c r="G162" s="50"/>
      <c r="H162" s="50"/>
      <c r="I162" s="50"/>
      <c r="J162" s="50"/>
    </row>
    <row r="163" spans="1:10" x14ac:dyDescent="0.2">
      <c r="A163" s="50"/>
      <c r="B163" s="50"/>
      <c r="C163" s="50"/>
      <c r="D163" s="50"/>
      <c r="E163" s="50"/>
      <c r="F163" s="50"/>
      <c r="G163" s="50"/>
      <c r="H163" s="50"/>
      <c r="I163" s="50"/>
      <c r="J163" s="50"/>
    </row>
    <row r="164" spans="1:10" x14ac:dyDescent="0.2">
      <c r="A164" s="50"/>
      <c r="B164" s="50"/>
      <c r="C164" s="50"/>
      <c r="D164" s="50"/>
      <c r="E164" s="50"/>
      <c r="F164" s="50"/>
      <c r="G164" s="50"/>
      <c r="H164" s="50"/>
      <c r="I164" s="50"/>
      <c r="J164" s="50"/>
    </row>
    <row r="165" spans="1:10" x14ac:dyDescent="0.2">
      <c r="A165" s="50"/>
      <c r="B165" s="50"/>
      <c r="C165" s="50"/>
      <c r="D165" s="50"/>
      <c r="E165" s="50"/>
      <c r="F165" s="50"/>
      <c r="G165" s="50"/>
      <c r="H165" s="50"/>
      <c r="I165" s="50"/>
      <c r="J165" s="50"/>
    </row>
    <row r="166" spans="1:10" x14ac:dyDescent="0.2">
      <c r="A166" s="50"/>
      <c r="B166" s="50"/>
      <c r="C166" s="50"/>
      <c r="D166" s="50"/>
      <c r="E166" s="50"/>
      <c r="F166" s="50"/>
      <c r="G166" s="50"/>
      <c r="H166" s="50"/>
      <c r="I166" s="50"/>
      <c r="J166" s="50"/>
    </row>
    <row r="167" spans="1:10" x14ac:dyDescent="0.2">
      <c r="A167" s="50"/>
      <c r="B167" s="50"/>
      <c r="C167" s="50"/>
      <c r="D167" s="50"/>
      <c r="E167" s="50"/>
      <c r="F167" s="50"/>
      <c r="G167" s="50"/>
      <c r="H167" s="50"/>
      <c r="I167" s="50"/>
      <c r="J167" s="50"/>
    </row>
    <row r="168" spans="1:10" x14ac:dyDescent="0.2">
      <c r="A168" s="50"/>
      <c r="B168" s="50"/>
      <c r="C168" s="50"/>
      <c r="D168" s="50"/>
      <c r="E168" s="50"/>
      <c r="F168" s="50"/>
      <c r="G168" s="50"/>
      <c r="H168" s="50"/>
      <c r="I168" s="50"/>
      <c r="J168" s="50"/>
    </row>
    <row r="169" spans="1:10" x14ac:dyDescent="0.2">
      <c r="A169" s="50"/>
      <c r="B169" s="50"/>
      <c r="C169" s="50"/>
      <c r="D169" s="50"/>
      <c r="E169" s="50"/>
      <c r="F169" s="50"/>
      <c r="G169" s="50"/>
      <c r="H169" s="50"/>
      <c r="I169" s="50"/>
      <c r="J169" s="50"/>
    </row>
    <row r="170" spans="1:10" x14ac:dyDescent="0.2">
      <c r="A170" s="50"/>
      <c r="B170" s="50"/>
      <c r="C170" s="50"/>
      <c r="D170" s="50"/>
      <c r="E170" s="50"/>
      <c r="F170" s="50"/>
      <c r="G170" s="50"/>
      <c r="H170" s="50"/>
      <c r="I170" s="50"/>
      <c r="J170" s="50"/>
    </row>
    <row r="171" spans="1:10" x14ac:dyDescent="0.2">
      <c r="A171" s="50"/>
      <c r="B171" s="50"/>
      <c r="C171" s="50"/>
      <c r="D171" s="50"/>
      <c r="E171" s="50"/>
      <c r="F171" s="50"/>
      <c r="G171" s="50"/>
      <c r="H171" s="50"/>
      <c r="I171" s="50"/>
      <c r="J171" s="50"/>
    </row>
    <row r="172" spans="1:10" x14ac:dyDescent="0.2">
      <c r="A172" s="50"/>
      <c r="B172" s="50"/>
      <c r="C172" s="50"/>
      <c r="D172" s="50"/>
      <c r="E172" s="50"/>
      <c r="F172" s="50"/>
      <c r="G172" s="50"/>
      <c r="H172" s="50"/>
      <c r="I172" s="50"/>
      <c r="J172" s="50"/>
    </row>
    <row r="173" spans="1:10" x14ac:dyDescent="0.2">
      <c r="A173" s="50"/>
      <c r="B173" s="50"/>
      <c r="C173" s="50"/>
      <c r="D173" s="50"/>
      <c r="E173" s="50"/>
      <c r="F173" s="50"/>
      <c r="G173" s="50"/>
      <c r="H173" s="50"/>
      <c r="I173" s="50"/>
      <c r="J173" s="50"/>
    </row>
    <row r="174" spans="1:10" x14ac:dyDescent="0.2">
      <c r="A174" s="50"/>
      <c r="B174" s="50"/>
      <c r="C174" s="50"/>
      <c r="D174" s="50"/>
      <c r="E174" s="50"/>
      <c r="F174" s="50"/>
      <c r="G174" s="50"/>
      <c r="H174" s="50"/>
      <c r="I174" s="50"/>
      <c r="J174" s="50"/>
    </row>
    <row r="175" spans="1:10" x14ac:dyDescent="0.2">
      <c r="A175" s="50"/>
      <c r="B175" s="50"/>
      <c r="C175" s="50"/>
      <c r="D175" s="50"/>
      <c r="E175" s="50"/>
      <c r="F175" s="50"/>
      <c r="G175" s="50"/>
      <c r="H175" s="50"/>
      <c r="I175" s="50"/>
      <c r="J175" s="50"/>
    </row>
    <row r="176" spans="1:10" x14ac:dyDescent="0.2">
      <c r="A176" s="50"/>
      <c r="B176" s="50"/>
      <c r="C176" s="50"/>
      <c r="D176" s="50"/>
      <c r="E176" s="50"/>
      <c r="F176" s="50"/>
      <c r="G176" s="50"/>
      <c r="H176" s="50"/>
      <c r="I176" s="50"/>
      <c r="J176" s="50"/>
    </row>
    <row r="177" spans="2:10" x14ac:dyDescent="0.2">
      <c r="B177" s="50"/>
      <c r="C177" s="50"/>
      <c r="D177" s="50"/>
      <c r="E177" s="50"/>
      <c r="F177" s="50"/>
      <c r="G177" s="50"/>
      <c r="H177" s="50"/>
      <c r="I177" s="50"/>
      <c r="J177" s="50"/>
    </row>
  </sheetData>
  <sheetProtection password="80D2" sheet="1" objects="1" scenarios="1"/>
  <mergeCells count="10">
    <mergeCell ref="C32:I32"/>
    <mergeCell ref="C33:I33"/>
    <mergeCell ref="E51:F51"/>
    <mergeCell ref="E99:F99"/>
    <mergeCell ref="E100:F100"/>
    <mergeCell ref="C15:I15"/>
    <mergeCell ref="C28:I28"/>
    <mergeCell ref="C29:I29"/>
    <mergeCell ref="C30:I30"/>
    <mergeCell ref="C31:I31"/>
  </mergeCells>
  <hyperlinks>
    <hyperlink ref="C7" r:id="rId1" xr:uid="{00000000-0004-0000-0700-000000000000}"/>
  </hyperlinks>
  <pageMargins left="0.59027777777777801" right="0.196527777777778" top="0" bottom="0" header="0.51180555555555496" footer="0.51180555555555496"/>
  <pageSetup paperSize="0" scale="0" orientation="portrait" usePrinterDefaults="0" useFirstPageNumber="1"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42</vt:i4>
      </vt:variant>
    </vt:vector>
  </HeadingPairs>
  <TitlesOfParts>
    <vt:vector size="50" baseType="lpstr">
      <vt:lpstr>Betrieb</vt:lpstr>
      <vt:lpstr>Eingabebereich</vt:lpstr>
      <vt:lpstr>Daten</vt:lpstr>
      <vt:lpstr>jaehrliche_Bilanz_Stickstoff</vt:lpstr>
      <vt:lpstr>jaehrliche_Bilanz_Phosphor</vt:lpstr>
      <vt:lpstr>dreijaehriger_Mittelwert</vt:lpstr>
      <vt:lpstr>Berechnung_GVE</vt:lpstr>
      <vt:lpstr>Info</vt:lpstr>
      <vt:lpstr>A</vt:lpstr>
      <vt:lpstr>Dauerbrache</vt:lpstr>
      <vt:lpstr>Berechnung_GVE!Druckbereich</vt:lpstr>
      <vt:lpstr>Betrieb!Druckbereich</vt:lpstr>
      <vt:lpstr>Daten!Druckbereich</vt:lpstr>
      <vt:lpstr>dreijaehriger_Mittelwert!Druckbereich</vt:lpstr>
      <vt:lpstr>Eingabebereich!Druckbereich</vt:lpstr>
      <vt:lpstr>Info!Druckbereich</vt:lpstr>
      <vt:lpstr>jaehrliche_Bilanz_Phosphor!Druckbereich</vt:lpstr>
      <vt:lpstr>jaehrliche_Bilanz_Stickstoff!Druckbereich</vt:lpstr>
      <vt:lpstr>Daten!Drucktitel</vt:lpstr>
      <vt:lpstr>Eingabebereich!Drucktitel</vt:lpstr>
      <vt:lpstr>Dünger</vt:lpstr>
      <vt:lpstr>Daten!Excel_BuiltIn_Print_Titles</vt:lpstr>
      <vt:lpstr>Eingabebereich!Excel_BuiltIn_Print_Titles</vt:lpstr>
      <vt:lpstr>Fläche_incl__Dauerbrache</vt:lpstr>
      <vt:lpstr>Fläche_ohne_Dauerbrache</vt:lpstr>
      <vt:lpstr>Hauptkultur</vt:lpstr>
      <vt:lpstr>Kali_ernte</vt:lpstr>
      <vt:lpstr>Leguminosen</vt:lpstr>
      <vt:lpstr>Mineraldünger</vt:lpstr>
      <vt:lpstr>N_ernte</vt:lpstr>
      <vt:lpstr>N_sonstige</vt:lpstr>
      <vt:lpstr>Name</vt:lpstr>
      <vt:lpstr>Nebenerntegut</vt:lpstr>
      <vt:lpstr>Ort</vt:lpstr>
      <vt:lpstr>Phos_ernte</vt:lpstr>
      <vt:lpstr>PLZ</vt:lpstr>
      <vt:lpstr>Preis_diamon</vt:lpstr>
      <vt:lpstr>Preis_Harnstoff</vt:lpstr>
      <vt:lpstr>Preis_kali</vt:lpstr>
      <vt:lpstr>Preis_NAC</vt:lpstr>
      <vt:lpstr>Preis_superph</vt:lpstr>
      <vt:lpstr>Sekundärrohstoffdünger</vt:lpstr>
      <vt:lpstr>Straße</vt:lpstr>
      <vt:lpstr>Tiere</vt:lpstr>
      <vt:lpstr>Verlustejeha</vt:lpstr>
      <vt:lpstr>Verlustetotal</vt:lpstr>
      <vt:lpstr>Vorname</vt:lpstr>
      <vt:lpstr>Wirtschaftsdünger</vt:lpstr>
      <vt:lpstr>Wirtschaftsjahr</vt:lpstr>
      <vt:lpstr>Zwischenfrüchte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Heinrich-Bernhard Münzebrock</dc:creator>
  <dc:description>neueste Version</dc:description>
  <cp:lastModifiedBy>User</cp:lastModifiedBy>
  <cp:revision>66</cp:revision>
  <cp:lastPrinted>2020-03-19T10:26:47Z</cp:lastPrinted>
  <dcterms:created xsi:type="dcterms:W3CDTF">2003-11-20T16:18:40Z</dcterms:created>
  <dcterms:modified xsi:type="dcterms:W3CDTF">2020-03-19T10:27:11Z</dcterms:modified>
  <dc:language>en-US</dc:language>
</cp:coreProperties>
</file>